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howInkAnnotation="0" codeName="ThisWorkbook" defaultThemeVersion="124226"/>
  <mc:AlternateContent xmlns:mc="http://schemas.openxmlformats.org/markup-compatibility/2006">
    <mc:Choice Requires="x15">
      <x15ac:absPath xmlns:x15ac="http://schemas.microsoft.com/office/spreadsheetml/2010/11/ac" url="C:\Users\cmfreitag\Desktop\Working from Home\"/>
    </mc:Choice>
  </mc:AlternateContent>
  <xr:revisionPtr revIDLastSave="0" documentId="8_{0048CBD8-F842-4785-80BB-E6D77D8320ED}" xr6:coauthVersionLast="45" xr6:coauthVersionMax="45" xr10:uidLastSave="{00000000-0000-0000-0000-000000000000}"/>
  <workbookProtection workbookPassword="9784" lockStructure="1"/>
  <bookViews>
    <workbookView xWindow="-120" yWindow="-120" windowWidth="20730" windowHeight="11160" xr2:uid="{00000000-000D-0000-FFFF-FFFF00000000}"/>
  </bookViews>
  <sheets>
    <sheet name="Overview" sheetId="16" r:id="rId1"/>
    <sheet name="EDTAP" sheetId="2" r:id="rId2"/>
    <sheet name="EMPL" sheetId="13" r:id="rId3"/>
    <sheet name="RGP" sheetId="14" r:id="rId4"/>
    <sheet name="Additional Trips and Funds" sheetId="9" r:id="rId5"/>
    <sheet name="Transfers log" sheetId="17" r:id="rId6"/>
    <sheet name="Summary" sheetId="1" r:id="rId7"/>
    <sheet name="Transfer reference" sheetId="19" state="hidden" r:id="rId8"/>
    <sheet name="Transit Names" sheetId="8" state="hidden" r:id="rId9"/>
  </sheets>
  <externalReferences>
    <externalReference r:id="rId10"/>
  </externalReferences>
  <definedNames>
    <definedName name="CountyName" localSheetId="0">'[1]Transit Names'!$B$1:$B$104</definedName>
    <definedName name="CountyName" localSheetId="5">'[1]Transit Names'!$B$1:$B$104</definedName>
    <definedName name="CountyNameList">'Transit Names'!$B$1:$B$104</definedName>
    <definedName name="EDTAP">'Transfer reference'!$E$3:$E$22</definedName>
    <definedName name="EDTAP5307funds">'Transfer reference'!$Q$26:$Q$45</definedName>
    <definedName name="EDTAP5310ED">'Transfer reference'!$O$26:$O$45</definedName>
    <definedName name="EDTAP5310funds">'Transfer reference'!$R$26:$R$45</definedName>
    <definedName name="EDTAP5311funds">'Transfer reference'!$P$26:$P$45</definedName>
    <definedName name="EDTAPEDTAP">'Transfer reference'!$L$26:$L$45</definedName>
    <definedName name="EDTAPJARC">'Transfer reference'!$M$26:$M$45</definedName>
    <definedName name="EDTAPNewFreedom">'Transfer reference'!$N$26:$N$45</definedName>
    <definedName name="EDTAPRGP">'Transfer reference'!$L$26:$L$45</definedName>
    <definedName name="EDTAPRuralStateOperating">'Transfer reference'!$S$26:$S$45</definedName>
    <definedName name="EMPL">'Transfer reference'!$F$3:$F$22</definedName>
    <definedName name="EMPL5307funds">'Transfer reference'!$S$49:$S$68</definedName>
    <definedName name="EMPL5310ED">'Transfer reference'!$Q$49:$Q$68</definedName>
    <definedName name="EMPL5310funds">'Transfer reference'!$T$49:$T$68</definedName>
    <definedName name="EMPL5311funds">'Transfer reference'!$R$49:$R$68</definedName>
    <definedName name="EMPLEDTAP">'Transfer reference'!$M$49:$M$68</definedName>
    <definedName name="EMPLEMPL">'Transfer reference'!$N$49:$N$68</definedName>
    <definedName name="EMPLJARC">'Transfer reference'!$O$49:$O$68</definedName>
    <definedName name="EMPLNewFreedom">'Transfer reference'!$P$49:$P$68</definedName>
    <definedName name="EMPLRGP">'Transfer reference'!$L$49:$L$68</definedName>
    <definedName name="EMPLRuralStateOperating">'Transfer reference'!$U$49:$U$68</definedName>
    <definedName name="FromAgency">INDEX('Transfer reference'!$D$3:$F$22,,MATCH('Transfers log'!$C$6,FromROAP,0))</definedName>
    <definedName name="FromROAP">'Transfer reference'!$D$2:$F$2</definedName>
    <definedName name="Names" localSheetId="0">'[1]Transit Names'!$A$1:$A$107</definedName>
    <definedName name="Names" localSheetId="5">'[1]Transit Names'!$A$1:$A$107</definedName>
    <definedName name="Names">'Transit Names'!$A$1:$A$107</definedName>
    <definedName name="_xlnm.Print_Area" localSheetId="0">Overview!$A$1:$F$27</definedName>
    <definedName name="_xlnm.Print_Area" localSheetId="6">Summary!$A$1:$L$52</definedName>
    <definedName name="_xlnm.Print_Titles" localSheetId="1">EDTAP!$1:$7</definedName>
    <definedName name="_xlnm.Print_Titles" localSheetId="2">EMPL!$1:$7</definedName>
    <definedName name="_xlnm.Print_Titles" localSheetId="0">Overview!$1:$8</definedName>
    <definedName name="_xlnm.Print_Titles" localSheetId="3">RGP!$1:$7</definedName>
    <definedName name="_xlnm.Print_Titles" localSheetId="6">Summary!$1:$3</definedName>
    <definedName name="RGP">'Transfer reference'!$D$3:$D$22</definedName>
    <definedName name="RGP5307funds">'Transfer reference'!$S$3:$S$22</definedName>
    <definedName name="RGP5310ED">'Transfer reference'!$Q$3:$Q$22</definedName>
    <definedName name="RGP5310funds">'Transfer reference'!$T$3:$T$22</definedName>
    <definedName name="RGP5311funds">'Transfer reference'!$R$3:$R$22</definedName>
    <definedName name="RGPEDTAP">'Transfer reference'!$M$3:$M$22</definedName>
    <definedName name="RGPEMPL">'Transfer reference'!$N$3:$N$22</definedName>
    <definedName name="RGPJARC">'Transfer reference'!$O$3:$O$22</definedName>
    <definedName name="RGPNewFreedom">'Transfer reference'!$P$3:$P$22</definedName>
    <definedName name="RGPRGP">'Transfer reference'!$L$3:$L$8</definedName>
    <definedName name="RGPRuralStateOperating">'Transfer reference'!$U$3:$U$22</definedName>
    <definedName name="SOME">'Transfer reference'!$O$2:$O$7</definedName>
    <definedName name="ToAgency">INDEX('Transfer reference'!$L$3:$P$25,,MATCH('Transfers log'!$E$6,ToROAP,0))</definedName>
    <definedName name="ToProgram">INDEX('Transfer reference'!$H$3:$J$9,,MATCH('Transfers log'!$C$6,FromROAP,0))</definedName>
    <definedName name="TORGP">'Transfer reference'!$J$3:$J$10</definedName>
    <definedName name="ToROAP">'Transfer reference'!$L$2:$R$2</definedName>
    <definedName name="TransitSystemList">'Transit Names'!$A$1:$A$107</definedName>
    <definedName name="Z_7A6E90D5_5AB3_47A8_A132_80E87DFA214A_.wvu.PrintArea" localSheetId="0" hidden="1">Overview!$A$1:$F$27</definedName>
    <definedName name="Z_7A6E90D5_5AB3_47A8_A132_80E87DFA214A_.wvu.PrintArea" localSheetId="6" hidden="1">Summary!$A$1:$L$52</definedName>
    <definedName name="Z_7A6E90D5_5AB3_47A8_A132_80E87DFA214A_.wvu.PrintTitles" localSheetId="1" hidden="1">EDTAP!$1:$7</definedName>
    <definedName name="Z_7A6E90D5_5AB3_47A8_A132_80E87DFA214A_.wvu.PrintTitles" localSheetId="2" hidden="1">EMPL!$1:$7</definedName>
    <definedName name="Z_7A6E90D5_5AB3_47A8_A132_80E87DFA214A_.wvu.PrintTitles" localSheetId="0" hidden="1">Overview!$1:$8</definedName>
    <definedName name="Z_7A6E90D5_5AB3_47A8_A132_80E87DFA214A_.wvu.PrintTitles" localSheetId="3" hidden="1">RGP!$1:$7</definedName>
    <definedName name="Z_7A6E90D5_5AB3_47A8_A132_80E87DFA214A_.wvu.PrintTitles" localSheetId="6" hidden="1">Summary!$1:$3</definedName>
    <definedName name="Z_A35AF9FC_B28C_44AB_BD86_2EBB43718021_.wvu.PrintArea" localSheetId="0" hidden="1">Overview!$A$1:$F$27</definedName>
    <definedName name="Z_A35AF9FC_B28C_44AB_BD86_2EBB43718021_.wvu.PrintArea" localSheetId="6" hidden="1">Summary!$A$1:$L$52</definedName>
    <definedName name="Z_A35AF9FC_B28C_44AB_BD86_2EBB43718021_.wvu.PrintTitles" localSheetId="1" hidden="1">EDTAP!$1:$7</definedName>
    <definedName name="Z_A35AF9FC_B28C_44AB_BD86_2EBB43718021_.wvu.PrintTitles" localSheetId="2" hidden="1">EMPL!$1:$7</definedName>
    <definedName name="Z_A35AF9FC_B28C_44AB_BD86_2EBB43718021_.wvu.PrintTitles" localSheetId="0" hidden="1">Overview!$1:$8</definedName>
    <definedName name="Z_A35AF9FC_B28C_44AB_BD86_2EBB43718021_.wvu.PrintTitles" localSheetId="3" hidden="1">RGP!$1:$7</definedName>
    <definedName name="Z_A35AF9FC_B28C_44AB_BD86_2EBB43718021_.wvu.PrintTitles" localSheetId="6" hidden="1">Summary!$1:$3</definedName>
  </definedNames>
  <calcPr calcId="191029" fullPrecision="0"/>
  <customWorkbookViews>
    <customWorkbookView name="jmelvin - Personal View" guid="{A35AF9FC-B28C-44AB-BD86-2EBB43718021}" mergeInterval="0" personalView="1" maximized="1" windowWidth="1020" windowHeight="606" activeSheetId="1"/>
    <customWorkbookView name="PHawley - Personal View" guid="{7A6E90D5-5AB3-47A8-A132-80E87DFA214A}" mergeInterval="0" personalView="1" maximized="1" windowWidth="988" windowHeight="60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4" l="1"/>
  <c r="Q19" i="14"/>
  <c r="E21" i="13"/>
  <c r="Q21" i="13"/>
  <c r="E24" i="13"/>
  <c r="Q24" i="13"/>
  <c r="E36" i="2"/>
  <c r="Q36" i="2"/>
  <c r="Q22" i="14"/>
  <c r="E33" i="2"/>
  <c r="Q33" i="2"/>
  <c r="E22" i="14"/>
  <c r="Q12" i="13" l="1"/>
  <c r="Q13" i="13"/>
  <c r="E12" i="13"/>
  <c r="E13" i="13"/>
  <c r="Q12" i="2"/>
  <c r="Q13" i="2"/>
  <c r="Q14" i="2"/>
  <c r="Q15" i="2"/>
  <c r="Q16" i="2"/>
  <c r="Q17" i="2"/>
  <c r="Q18" i="2"/>
  <c r="Q19" i="2"/>
  <c r="Q20" i="2"/>
  <c r="Q21" i="2"/>
  <c r="Q22" i="2"/>
  <c r="Q23" i="2"/>
  <c r="Q24" i="2"/>
  <c r="Q25" i="2"/>
  <c r="E12" i="2"/>
  <c r="E13" i="2"/>
  <c r="E14" i="2"/>
  <c r="E15" i="2"/>
  <c r="E16" i="2"/>
  <c r="E17" i="2"/>
  <c r="E18" i="2"/>
  <c r="E19" i="2"/>
  <c r="E20" i="2"/>
  <c r="E21" i="2"/>
  <c r="E22" i="2"/>
  <c r="E23" i="2"/>
  <c r="E24" i="2"/>
  <c r="E25" i="2"/>
  <c r="U64" i="19" l="1"/>
  <c r="U65" i="19"/>
  <c r="U66" i="19"/>
  <c r="U67" i="19"/>
  <c r="U68" i="19"/>
  <c r="H8" i="9" l="1"/>
  <c r="H9" i="9"/>
  <c r="H7" i="9"/>
  <c r="E6" i="14" l="1"/>
  <c r="E6" i="13"/>
  <c r="E6" i="2"/>
  <c r="F12" i="1" l="1"/>
  <c r="D10" i="1"/>
  <c r="E10" i="1"/>
  <c r="D11" i="1"/>
  <c r="E11" i="1"/>
  <c r="E9" i="1"/>
  <c r="D9" i="1"/>
  <c r="D12" i="1" l="1"/>
  <c r="E12" i="1"/>
  <c r="Q21" i="14"/>
  <c r="Q20" i="14"/>
  <c r="E21" i="14"/>
  <c r="E20" i="14"/>
  <c r="Q23" i="13"/>
  <c r="Q22" i="13"/>
  <c r="E23" i="13"/>
  <c r="E22" i="13"/>
  <c r="Q35" i="2"/>
  <c r="Q34" i="2"/>
  <c r="E35" i="2"/>
  <c r="E34" i="2"/>
  <c r="K26" i="1"/>
  <c r="A3" i="16" l="1"/>
  <c r="M1" i="2" s="1"/>
  <c r="A1" i="2" l="1"/>
  <c r="D13" i="14" l="1"/>
  <c r="D15" i="13"/>
  <c r="K21" i="13" s="1"/>
  <c r="K22" i="13" s="1"/>
  <c r="B6" i="19"/>
  <c r="O68" i="19" s="1"/>
  <c r="B5" i="19"/>
  <c r="B4" i="19"/>
  <c r="B3" i="19"/>
  <c r="B2" i="19"/>
  <c r="A16" i="19"/>
  <c r="A15" i="19"/>
  <c r="A14" i="19"/>
  <c r="A13" i="19"/>
  <c r="A12" i="19"/>
  <c r="O13" i="19" s="1"/>
  <c r="A11" i="19"/>
  <c r="S58" i="19" s="1"/>
  <c r="A10" i="19"/>
  <c r="E11" i="19" s="1"/>
  <c r="A9" i="19"/>
  <c r="N56" i="19" s="1"/>
  <c r="A8" i="19"/>
  <c r="P55" i="19" s="1"/>
  <c r="A7" i="19"/>
  <c r="A6" i="19"/>
  <c r="A5" i="19"/>
  <c r="A4" i="19"/>
  <c r="A3" i="19"/>
  <c r="Q15" i="19"/>
  <c r="O7" i="19"/>
  <c r="R61" i="19"/>
  <c r="P61" i="19"/>
  <c r="O54" i="19"/>
  <c r="Q38" i="19"/>
  <c r="P38" i="19"/>
  <c r="P37" i="19"/>
  <c r="O38" i="19"/>
  <c r="M38" i="19"/>
  <c r="M30" i="19"/>
  <c r="L38" i="19"/>
  <c r="M1" i="13"/>
  <c r="A1" i="13"/>
  <c r="A1" i="9"/>
  <c r="A1" i="17" s="1"/>
  <c r="A3" i="1"/>
  <c r="F28" i="9"/>
  <c r="W19" i="14"/>
  <c r="E28" i="9" s="1"/>
  <c r="K19" i="14"/>
  <c r="S13" i="14"/>
  <c r="R13" i="14"/>
  <c r="G13" i="14"/>
  <c r="F13" i="14"/>
  <c r="A11" i="14"/>
  <c r="B8" i="19"/>
  <c r="K29" i="1"/>
  <c r="K28" i="1" s="1"/>
  <c r="K23" i="1"/>
  <c r="K18" i="1"/>
  <c r="B24" i="9"/>
  <c r="W33" i="2"/>
  <c r="E26" i="9" s="1"/>
  <c r="W21" i="13"/>
  <c r="E27" i="9" s="1"/>
  <c r="E4" i="14"/>
  <c r="Q4" i="14" s="1"/>
  <c r="E4" i="13"/>
  <c r="A11" i="13"/>
  <c r="E11" i="13" s="1"/>
  <c r="E15" i="19"/>
  <c r="E4" i="2"/>
  <c r="Q4" i="2" s="1"/>
  <c r="A11" i="2"/>
  <c r="E11" i="2" s="1"/>
  <c r="B5" i="1"/>
  <c r="B20" i="16"/>
  <c r="A2" i="19" s="1"/>
  <c r="A7" i="16"/>
  <c r="A9" i="16" s="1"/>
  <c r="A11" i="16" s="1"/>
  <c r="A13" i="16" s="1"/>
  <c r="A15" i="16" s="1"/>
  <c r="A17" i="16" s="1"/>
  <c r="A19" i="16" s="1"/>
  <c r="A35" i="16" s="1"/>
  <c r="A4" i="2" s="1"/>
  <c r="D27" i="2"/>
  <c r="K33" i="2" s="1"/>
  <c r="F27" i="2"/>
  <c r="H27" i="2"/>
  <c r="J27" i="2"/>
  <c r="C26" i="9" s="1"/>
  <c r="I11" i="2"/>
  <c r="T15" i="13"/>
  <c r="R15" i="13"/>
  <c r="J15" i="13"/>
  <c r="H15" i="13"/>
  <c r="F15" i="13"/>
  <c r="U13" i="13"/>
  <c r="I13" i="13"/>
  <c r="U12" i="13"/>
  <c r="I12" i="13"/>
  <c r="U11" i="13"/>
  <c r="I11" i="13"/>
  <c r="T27" i="2"/>
  <c r="R27" i="2"/>
  <c r="U25" i="2"/>
  <c r="U24" i="2"/>
  <c r="U23" i="2"/>
  <c r="U22" i="2"/>
  <c r="U21" i="2"/>
  <c r="U20" i="2"/>
  <c r="U19" i="2"/>
  <c r="U18" i="2"/>
  <c r="U17" i="2"/>
  <c r="U16" i="2"/>
  <c r="U15" i="2"/>
  <c r="U14" i="2"/>
  <c r="U13" i="2"/>
  <c r="U12" i="2"/>
  <c r="U11" i="2"/>
  <c r="I12" i="2"/>
  <c r="I13" i="2"/>
  <c r="I14" i="2"/>
  <c r="I15" i="2"/>
  <c r="I16" i="2"/>
  <c r="I17" i="2"/>
  <c r="I18" i="2"/>
  <c r="I19" i="2"/>
  <c r="I20" i="2"/>
  <c r="I21" i="2"/>
  <c r="I22" i="2"/>
  <c r="I23" i="2"/>
  <c r="I24" i="2"/>
  <c r="I25" i="2"/>
  <c r="F13" i="19"/>
  <c r="N59" i="19"/>
  <c r="E14" i="19"/>
  <c r="N61" i="19"/>
  <c r="N60" i="19"/>
  <c r="F15" i="19"/>
  <c r="M53" i="19"/>
  <c r="M61" i="19"/>
  <c r="F14" i="19"/>
  <c r="N54" i="19"/>
  <c r="N53" i="19"/>
  <c r="V15" i="13"/>
  <c r="W23" i="13" s="1"/>
  <c r="V27" i="2"/>
  <c r="W35" i="2" s="1"/>
  <c r="C28" i="9"/>
  <c r="I13" i="14"/>
  <c r="K21" i="14" s="1"/>
  <c r="I15" i="13" l="1"/>
  <c r="P10" i="19"/>
  <c r="M57" i="19"/>
  <c r="U15" i="13"/>
  <c r="M36" i="19"/>
  <c r="Q13" i="19"/>
  <c r="E13" i="19"/>
  <c r="A35" i="1"/>
  <c r="C43" i="1"/>
  <c r="L36" i="19"/>
  <c r="Q36" i="19"/>
  <c r="M3" i="19"/>
  <c r="N3" i="19"/>
  <c r="N36" i="19"/>
  <c r="R59" i="19"/>
  <c r="M59" i="19"/>
  <c r="Q57" i="19"/>
  <c r="Q34" i="19"/>
  <c r="N33" i="19"/>
  <c r="R57" i="19"/>
  <c r="N35" i="19"/>
  <c r="S59" i="19"/>
  <c r="F10" i="19"/>
  <c r="O36" i="19"/>
  <c r="P59" i="19"/>
  <c r="U17" i="19"/>
  <c r="U63" i="19"/>
  <c r="S40" i="19"/>
  <c r="M55" i="19"/>
  <c r="U56" i="19"/>
  <c r="U10" i="19"/>
  <c r="S33" i="19"/>
  <c r="F9" i="19"/>
  <c r="E10" i="19"/>
  <c r="N63" i="19"/>
  <c r="E9" i="19"/>
  <c r="F11" i="19"/>
  <c r="O63" i="19"/>
  <c r="Q5" i="19"/>
  <c r="S28" i="19"/>
  <c r="U5" i="19"/>
  <c r="U51" i="19"/>
  <c r="S13" i="19"/>
  <c r="S36" i="19"/>
  <c r="U59" i="19"/>
  <c r="U13" i="19"/>
  <c r="M56" i="19"/>
  <c r="N55" i="19"/>
  <c r="O52" i="19"/>
  <c r="S29" i="19"/>
  <c r="U6" i="19"/>
  <c r="U52" i="19"/>
  <c r="U14" i="19"/>
  <c r="S37" i="19"/>
  <c r="U60" i="19"/>
  <c r="U9" i="19"/>
  <c r="U55" i="19"/>
  <c r="S32" i="19"/>
  <c r="U11" i="19"/>
  <c r="U57" i="19"/>
  <c r="S34" i="19"/>
  <c r="U58" i="19"/>
  <c r="U12" i="19"/>
  <c r="S35" i="19"/>
  <c r="E17" i="19"/>
  <c r="U53" i="19"/>
  <c r="S30" i="19"/>
  <c r="U7" i="19"/>
  <c r="U61" i="19"/>
  <c r="S38" i="19"/>
  <c r="U15" i="19"/>
  <c r="L34" i="19"/>
  <c r="O33" i="19"/>
  <c r="U8" i="19"/>
  <c r="S31" i="19"/>
  <c r="U54" i="19"/>
  <c r="U16" i="19"/>
  <c r="U62" i="19"/>
  <c r="S39" i="19"/>
  <c r="L54" i="19"/>
  <c r="N45" i="19"/>
  <c r="E22" i="19"/>
  <c r="P22" i="19"/>
  <c r="U22" i="19"/>
  <c r="S45" i="19"/>
  <c r="L7" i="19"/>
  <c r="U21" i="19"/>
  <c r="S44" i="19"/>
  <c r="N43" i="19"/>
  <c r="S43" i="19"/>
  <c r="U20" i="19"/>
  <c r="D5" i="19"/>
  <c r="S42" i="19"/>
  <c r="U19" i="19"/>
  <c r="Q64" i="19"/>
  <c r="U18" i="19"/>
  <c r="S41" i="19"/>
  <c r="S50" i="19"/>
  <c r="S27" i="19"/>
  <c r="U4" i="19"/>
  <c r="U50" i="19"/>
  <c r="U49" i="19"/>
  <c r="U3" i="19"/>
  <c r="P68" i="19"/>
  <c r="C10" i="1"/>
  <c r="G10" i="1" s="1"/>
  <c r="F22" i="19"/>
  <c r="D8" i="19"/>
  <c r="L45" i="19"/>
  <c r="R67" i="19"/>
  <c r="M67" i="19"/>
  <c r="S66" i="19"/>
  <c r="L43" i="19"/>
  <c r="Q19" i="19"/>
  <c r="O19" i="19"/>
  <c r="M42" i="19"/>
  <c r="P41" i="19"/>
  <c r="O18" i="19"/>
  <c r="O64" i="19"/>
  <c r="E18" i="19"/>
  <c r="N64" i="19"/>
  <c r="P18" i="19"/>
  <c r="N41" i="19"/>
  <c r="F18" i="19"/>
  <c r="S64" i="19"/>
  <c r="D4" i="19"/>
  <c r="L50" i="19"/>
  <c r="O41" i="19"/>
  <c r="M11" i="14"/>
  <c r="E11" i="14"/>
  <c r="E13" i="14" s="1"/>
  <c r="J13" i="14" s="1"/>
  <c r="M11" i="13"/>
  <c r="E15" i="13"/>
  <c r="B28" i="9"/>
  <c r="H28" i="9" s="1"/>
  <c r="C11" i="1"/>
  <c r="G11" i="1" s="1"/>
  <c r="C27" i="9"/>
  <c r="K21" i="1"/>
  <c r="K24" i="1"/>
  <c r="K22" i="1"/>
  <c r="I28" i="9"/>
  <c r="F27" i="9"/>
  <c r="M51" i="19"/>
  <c r="E5" i="19"/>
  <c r="K19" i="1"/>
  <c r="I27" i="2"/>
  <c r="C9" i="1"/>
  <c r="G9" i="1" s="1"/>
  <c r="K17" i="1"/>
  <c r="F26" i="9"/>
  <c r="I26" i="9" s="1"/>
  <c r="U27" i="2"/>
  <c r="K35" i="2"/>
  <c r="K16" i="1"/>
  <c r="M4" i="2"/>
  <c r="A6" i="2"/>
  <c r="S63" i="19"/>
  <c r="R40" i="19"/>
  <c r="T17" i="19"/>
  <c r="T63" i="19"/>
  <c r="S17" i="19"/>
  <c r="R63" i="19"/>
  <c r="Q40" i="19"/>
  <c r="L40" i="19"/>
  <c r="Q17" i="19"/>
  <c r="P63" i="19"/>
  <c r="F17" i="19"/>
  <c r="M63" i="19"/>
  <c r="R21" i="19"/>
  <c r="R44" i="19"/>
  <c r="T21" i="19"/>
  <c r="T67" i="19"/>
  <c r="Q21" i="19"/>
  <c r="O21" i="19"/>
  <c r="S67" i="19"/>
  <c r="P67" i="19"/>
  <c r="O44" i="19"/>
  <c r="M44" i="19"/>
  <c r="N67" i="19"/>
  <c r="N44" i="19"/>
  <c r="L44" i="19"/>
  <c r="L53" i="19"/>
  <c r="Q4" i="13"/>
  <c r="F21" i="19"/>
  <c r="R17" i="19"/>
  <c r="S7" i="19"/>
  <c r="T7" i="19"/>
  <c r="R30" i="19"/>
  <c r="T53" i="19"/>
  <c r="R53" i="19"/>
  <c r="P53" i="19"/>
  <c r="Q30" i="19"/>
  <c r="P30" i="19"/>
  <c r="O30" i="19"/>
  <c r="L30" i="19"/>
  <c r="E7" i="19"/>
  <c r="F7" i="19"/>
  <c r="S11" i="19"/>
  <c r="R34" i="19"/>
  <c r="T57" i="19"/>
  <c r="T11" i="19"/>
  <c r="Q11" i="19"/>
  <c r="O11" i="19"/>
  <c r="P57" i="19"/>
  <c r="O34" i="19"/>
  <c r="M34" i="19"/>
  <c r="N57" i="19"/>
  <c r="R14" i="19"/>
  <c r="R37" i="19"/>
  <c r="T14" i="19"/>
  <c r="T60" i="19"/>
  <c r="S60" i="19"/>
  <c r="P60" i="19"/>
  <c r="P14" i="19"/>
  <c r="O60" i="19"/>
  <c r="N37" i="19"/>
  <c r="Q60" i="19"/>
  <c r="E24" i="9"/>
  <c r="E21" i="19"/>
  <c r="O40" i="19"/>
  <c r="Q44" i="19"/>
  <c r="P7" i="19"/>
  <c r="K23" i="13"/>
  <c r="C24" i="9"/>
  <c r="D7" i="19"/>
  <c r="M40" i="19"/>
  <c r="O17" i="19"/>
  <c r="M1" i="14"/>
  <c r="Q54" i="19"/>
  <c r="R31" i="19"/>
  <c r="T8" i="19"/>
  <c r="T54" i="19"/>
  <c r="P12" i="19"/>
  <c r="R35" i="19"/>
  <c r="T12" i="19"/>
  <c r="T58" i="19"/>
  <c r="S15" i="19"/>
  <c r="T15" i="19"/>
  <c r="R38" i="19"/>
  <c r="T61" i="19"/>
  <c r="P64" i="19"/>
  <c r="R41" i="19"/>
  <c r="T18" i="19"/>
  <c r="T64" i="19"/>
  <c r="R22" i="19"/>
  <c r="R45" i="19"/>
  <c r="T22" i="19"/>
  <c r="T68" i="19"/>
  <c r="S55" i="19"/>
  <c r="R32" i="19"/>
  <c r="T9" i="19"/>
  <c r="T55" i="19"/>
  <c r="Q62" i="19"/>
  <c r="R39" i="19"/>
  <c r="T16" i="19"/>
  <c r="T62" i="19"/>
  <c r="S19" i="19"/>
  <c r="T19" i="19"/>
  <c r="T65" i="19"/>
  <c r="R42" i="19"/>
  <c r="L32" i="19"/>
  <c r="L42" i="19"/>
  <c r="O62" i="19"/>
  <c r="O5" i="19"/>
  <c r="O15" i="19"/>
  <c r="P15" i="19"/>
  <c r="S56" i="19"/>
  <c r="R33" i="19"/>
  <c r="T10" i="19"/>
  <c r="T56" i="19"/>
  <c r="R13" i="19"/>
  <c r="R36" i="19"/>
  <c r="T13" i="19"/>
  <c r="T59" i="19"/>
  <c r="P20" i="19"/>
  <c r="R43" i="19"/>
  <c r="T20" i="19"/>
  <c r="T66" i="19"/>
  <c r="A1" i="14"/>
  <c r="O28" i="19"/>
  <c r="S5" i="19"/>
  <c r="F5" i="19"/>
  <c r="S51" i="19"/>
  <c r="N51" i="19"/>
  <c r="M28" i="19"/>
  <c r="N28" i="19"/>
  <c r="M11" i="2"/>
  <c r="Q11" i="2" s="1"/>
  <c r="Q3" i="19"/>
  <c r="T3" i="19"/>
  <c r="E27" i="2"/>
  <c r="R6" i="19"/>
  <c r="T6" i="19"/>
  <c r="T52" i="19"/>
  <c r="R29" i="19"/>
  <c r="P29" i="19"/>
  <c r="Q28" i="19"/>
  <c r="R5" i="19"/>
  <c r="R28" i="19"/>
  <c r="T5" i="19"/>
  <c r="T51" i="19"/>
  <c r="R51" i="19"/>
  <c r="P51" i="19"/>
  <c r="P4" i="19"/>
  <c r="R27" i="19"/>
  <c r="T50" i="19"/>
  <c r="T4" i="19"/>
  <c r="N50" i="19"/>
  <c r="M49" i="19"/>
  <c r="F19" i="19"/>
  <c r="O32" i="19"/>
  <c r="S52" i="19"/>
  <c r="N49" i="19"/>
  <c r="Q32" i="19"/>
  <c r="O9" i="19"/>
  <c r="D3" i="19"/>
  <c r="E6" i="19"/>
  <c r="N27" i="19"/>
  <c r="P33" i="19"/>
  <c r="O55" i="19"/>
  <c r="P52" i="19"/>
  <c r="P65" i="19"/>
  <c r="Q65" i="19"/>
  <c r="O10" i="19"/>
  <c r="P6" i="19"/>
  <c r="Q7" i="19"/>
  <c r="R9" i="19"/>
  <c r="S21" i="19"/>
  <c r="E3" i="19"/>
  <c r="N52" i="19"/>
  <c r="L51" i="19"/>
  <c r="M32" i="19"/>
  <c r="O56" i="19"/>
  <c r="Q68" i="19"/>
  <c r="R65" i="19"/>
  <c r="Q9" i="19"/>
  <c r="R16" i="19"/>
  <c r="S9" i="19"/>
  <c r="L5" i="19"/>
  <c r="N29" i="19"/>
  <c r="F6" i="19"/>
  <c r="E19" i="19"/>
  <c r="N65" i="19"/>
  <c r="Q52" i="19"/>
  <c r="M65" i="19"/>
  <c r="O42" i="19"/>
  <c r="P45" i="19"/>
  <c r="Q42" i="19"/>
  <c r="Q56" i="19"/>
  <c r="R55" i="19"/>
  <c r="S68" i="19"/>
  <c r="E20" i="19"/>
  <c r="M39" i="19"/>
  <c r="Q35" i="19"/>
  <c r="M62" i="19"/>
  <c r="F8" i="19"/>
  <c r="R3" i="19"/>
  <c r="F20" i="19"/>
  <c r="E8" i="19"/>
  <c r="M50" i="19"/>
  <c r="F3" i="19"/>
  <c r="T49" i="19" s="1"/>
  <c r="L3" i="19"/>
  <c r="L8" i="19"/>
  <c r="N66" i="19"/>
  <c r="L33" i="19"/>
  <c r="L41" i="19"/>
  <c r="M29" i="19"/>
  <c r="M37" i="19"/>
  <c r="M45" i="19"/>
  <c r="N34" i="19"/>
  <c r="N42" i="19"/>
  <c r="O31" i="19"/>
  <c r="O39" i="19"/>
  <c r="P28" i="19"/>
  <c r="P36" i="19"/>
  <c r="P44" i="19"/>
  <c r="Q33" i="19"/>
  <c r="Q41" i="19"/>
  <c r="O53" i="19"/>
  <c r="O61" i="19"/>
  <c r="P50" i="19"/>
  <c r="P58" i="19"/>
  <c r="P66" i="19"/>
  <c r="Q55" i="19"/>
  <c r="Q63" i="19"/>
  <c r="R52" i="19"/>
  <c r="R60" i="19"/>
  <c r="R68" i="19"/>
  <c r="S57" i="19"/>
  <c r="S65" i="19"/>
  <c r="O8" i="19"/>
  <c r="O16" i="19"/>
  <c r="P5" i="19"/>
  <c r="P13" i="19"/>
  <c r="P21" i="19"/>
  <c r="Q10" i="19"/>
  <c r="Q18" i="19"/>
  <c r="R7" i="19"/>
  <c r="R15" i="19"/>
  <c r="S4" i="19"/>
  <c r="S8" i="19"/>
  <c r="S12" i="19"/>
  <c r="S16" i="19"/>
  <c r="S20" i="19"/>
  <c r="F12" i="19"/>
  <c r="M31" i="19"/>
  <c r="Q27" i="19"/>
  <c r="P31" i="19"/>
  <c r="P39" i="19"/>
  <c r="Q50" i="19"/>
  <c r="Q58" i="19"/>
  <c r="Q66" i="19"/>
  <c r="P8" i="19"/>
  <c r="P16" i="19"/>
  <c r="R10" i="19"/>
  <c r="R18" i="19"/>
  <c r="F4" i="19"/>
  <c r="R54" i="19"/>
  <c r="Q4" i="19"/>
  <c r="Q12" i="19"/>
  <c r="Q20" i="19"/>
  <c r="F16" i="19"/>
  <c r="L26" i="19"/>
  <c r="M58" i="19"/>
  <c r="M66" i="19"/>
  <c r="L27" i="19"/>
  <c r="N62" i="19"/>
  <c r="L49" i="19"/>
  <c r="E12" i="19"/>
  <c r="S3" i="19"/>
  <c r="M52" i="19"/>
  <c r="L6" i="19"/>
  <c r="L4" i="19"/>
  <c r="L28" i="19"/>
  <c r="L37" i="19"/>
  <c r="L29" i="19"/>
  <c r="M33" i="19"/>
  <c r="M41" i="19"/>
  <c r="N30" i="19"/>
  <c r="N38" i="19"/>
  <c r="O27" i="19"/>
  <c r="O35" i="19"/>
  <c r="O43" i="19"/>
  <c r="P32" i="19"/>
  <c r="P40" i="19"/>
  <c r="Q29" i="19"/>
  <c r="Q37" i="19"/>
  <c r="Q45" i="19"/>
  <c r="O57" i="19"/>
  <c r="O65" i="19"/>
  <c r="P54" i="19"/>
  <c r="P62" i="19"/>
  <c r="Q51" i="19"/>
  <c r="Q59" i="19"/>
  <c r="Q67" i="19"/>
  <c r="R56" i="19"/>
  <c r="R64" i="19"/>
  <c r="S53" i="19"/>
  <c r="S61" i="19"/>
  <c r="O4" i="19"/>
  <c r="O12" i="19"/>
  <c r="O20" i="19"/>
  <c r="P9" i="19"/>
  <c r="P17" i="19"/>
  <c r="Q6" i="19"/>
  <c r="Q14" i="19"/>
  <c r="Q22" i="19"/>
  <c r="R11" i="19"/>
  <c r="R19" i="19"/>
  <c r="S6" i="19"/>
  <c r="S10" i="19"/>
  <c r="S14" i="19"/>
  <c r="S18" i="19"/>
  <c r="S22" i="19"/>
  <c r="N58" i="19"/>
  <c r="D6" i="19"/>
  <c r="N39" i="19"/>
  <c r="O50" i="19"/>
  <c r="O58" i="19"/>
  <c r="O66" i="19"/>
  <c r="S54" i="19"/>
  <c r="S62" i="19"/>
  <c r="R4" i="19"/>
  <c r="R12" i="19"/>
  <c r="R20" i="19"/>
  <c r="N31" i="19"/>
  <c r="E16" i="19"/>
  <c r="O3" i="19"/>
  <c r="M60" i="19"/>
  <c r="E4" i="19"/>
  <c r="M64" i="19"/>
  <c r="L52" i="19"/>
  <c r="M68" i="19"/>
  <c r="N68" i="19"/>
  <c r="L31" i="19"/>
  <c r="L39" i="19"/>
  <c r="M27" i="19"/>
  <c r="M35" i="19"/>
  <c r="M43" i="19"/>
  <c r="N32" i="19"/>
  <c r="N40" i="19"/>
  <c r="O29" i="19"/>
  <c r="O37" i="19"/>
  <c r="O45" i="19"/>
  <c r="P34" i="19"/>
  <c r="P42" i="19"/>
  <c r="Q31" i="19"/>
  <c r="Q39" i="19"/>
  <c r="O51" i="19"/>
  <c r="O59" i="19"/>
  <c r="O67" i="19"/>
  <c r="P56" i="19"/>
  <c r="Q53" i="19"/>
  <c r="Q61" i="19"/>
  <c r="R50" i="19"/>
  <c r="R58" i="19"/>
  <c r="R66" i="19"/>
  <c r="O6" i="19"/>
  <c r="O14" i="19"/>
  <c r="O22" i="19"/>
  <c r="P11" i="19"/>
  <c r="P19" i="19"/>
  <c r="Q8" i="19"/>
  <c r="Q16" i="19"/>
  <c r="R8" i="19"/>
  <c r="M54" i="19"/>
  <c r="L35" i="19"/>
  <c r="Q43" i="19"/>
  <c r="R62" i="19"/>
  <c r="P3" i="19"/>
  <c r="P27" i="19"/>
  <c r="P35" i="19"/>
  <c r="P43" i="19"/>
  <c r="B27" i="9"/>
  <c r="H27" i="9" s="1"/>
  <c r="K34" i="2"/>
  <c r="B26" i="9"/>
  <c r="H26" i="9" s="1"/>
  <c r="G12" i="1" l="1"/>
  <c r="Q11" i="13"/>
  <c r="Q15" i="13" s="1"/>
  <c r="R26" i="19"/>
  <c r="S26" i="19"/>
  <c r="N26" i="19"/>
  <c r="C12" i="1"/>
  <c r="I27" i="9"/>
  <c r="Q11" i="14"/>
  <c r="Q13" i="14" s="1"/>
  <c r="K13" i="14"/>
  <c r="K20" i="14" s="1"/>
  <c r="K24" i="13"/>
  <c r="P14" i="13" s="1"/>
  <c r="W22" i="13" s="1"/>
  <c r="M6" i="2"/>
  <c r="A9" i="2"/>
  <c r="F24" i="9"/>
  <c r="H24" i="9" s="1"/>
  <c r="I24" i="9" s="1"/>
  <c r="Q27" i="2"/>
  <c r="O26" i="19"/>
  <c r="Q49" i="19"/>
  <c r="P26" i="19"/>
  <c r="O49" i="19"/>
  <c r="Q26" i="19"/>
  <c r="P49" i="19"/>
  <c r="M26" i="19"/>
  <c r="R49" i="19"/>
  <c r="S49" i="19"/>
  <c r="K36" i="2"/>
  <c r="J17" i="14" l="1"/>
  <c r="C8" i="9"/>
  <c r="M9" i="2"/>
  <c r="D9" i="2"/>
  <c r="P15" i="13"/>
  <c r="F21" i="1"/>
  <c r="P26" i="2"/>
  <c r="C7" i="9"/>
  <c r="K22" i="14" l="1"/>
  <c r="P12" i="14" s="1"/>
  <c r="E9" i="2"/>
  <c r="P9" i="2"/>
  <c r="W24" i="13"/>
  <c r="W34" i="2"/>
  <c r="F16" i="1" s="1"/>
  <c r="P27" i="2"/>
  <c r="F24" i="1" l="1"/>
  <c r="H10" i="1" s="1"/>
  <c r="F8" i="9"/>
  <c r="I8" i="9" s="1"/>
  <c r="P13" i="14"/>
  <c r="U12" i="14"/>
  <c r="U13" i="14" s="1"/>
  <c r="C9" i="9"/>
  <c r="Q9" i="2"/>
  <c r="F9" i="2"/>
  <c r="W36" i="2"/>
  <c r="F19" i="1" s="1"/>
  <c r="H9" i="1" l="1"/>
  <c r="F7" i="9"/>
  <c r="I7" i="9" s="1"/>
  <c r="V13" i="14"/>
  <c r="W21" i="14"/>
  <c r="H9" i="2"/>
  <c r="R9" i="2"/>
  <c r="F27" i="1" l="1"/>
  <c r="W13" i="14"/>
  <c r="W20" i="14" s="1"/>
  <c r="I9" i="2"/>
  <c r="T9" i="2"/>
  <c r="F28" i="1" l="1"/>
  <c r="V17" i="14"/>
  <c r="J9" i="2"/>
  <c r="U9" i="2"/>
  <c r="F26" i="1" l="1"/>
  <c r="W22" i="14"/>
  <c r="F9" i="9" s="1"/>
  <c r="I9" i="9" s="1"/>
  <c r="V9" i="2"/>
  <c r="A31" i="2"/>
  <c r="F30" i="1" l="1"/>
  <c r="H11" i="1" s="1"/>
  <c r="H12" i="1" s="1"/>
  <c r="F29" i="1"/>
  <c r="G31" i="2"/>
  <c r="M31" i="2"/>
  <c r="S31" i="2" l="1"/>
  <c r="A33" i="2"/>
  <c r="F23" i="1"/>
  <c r="F22" i="1" s="1"/>
  <c r="M33" i="2" l="1"/>
  <c r="A34" i="2"/>
  <c r="F18" i="1"/>
  <c r="F17" i="1" s="1"/>
  <c r="A35" i="2" l="1"/>
  <c r="M34" i="2"/>
  <c r="M35" i="2" l="1"/>
  <c r="A36" i="2"/>
  <c r="G33" i="2" l="1"/>
  <c r="M36" i="2"/>
  <c r="G34" i="2" l="1"/>
  <c r="S33" i="2"/>
  <c r="S34" i="2" l="1"/>
  <c r="G35" i="2"/>
  <c r="S35" i="2" l="1"/>
  <c r="G36" i="2"/>
  <c r="I42" i="1" l="1"/>
  <c r="A4" i="13"/>
  <c r="S36" i="2"/>
  <c r="M4" i="13" l="1"/>
  <c r="A6" i="13"/>
  <c r="A9" i="13" l="1"/>
  <c r="M6" i="13"/>
  <c r="M9" i="13" l="1"/>
  <c r="D9" i="13"/>
  <c r="E9" i="13" l="1"/>
  <c r="P9" i="13"/>
  <c r="F9" i="13" l="1"/>
  <c r="Q9" i="13"/>
  <c r="R9" i="13" l="1"/>
  <c r="H9" i="13"/>
  <c r="T9" i="13" l="1"/>
  <c r="I9" i="13"/>
  <c r="J9" i="13" l="1"/>
  <c r="U9" i="13"/>
  <c r="A19" i="13" l="1"/>
  <c r="V9" i="13"/>
  <c r="M19" i="13" l="1"/>
  <c r="G19" i="13"/>
  <c r="S19" i="13" l="1"/>
  <c r="A21" i="13"/>
  <c r="M21" i="13" l="1"/>
  <c r="A22" i="13"/>
  <c r="M22" i="13" l="1"/>
  <c r="A23" i="13"/>
  <c r="A24" i="13" l="1"/>
  <c r="M23" i="13"/>
  <c r="G21" i="13" l="1"/>
  <c r="M24" i="13"/>
  <c r="G22" i="13" l="1"/>
  <c r="S21" i="13"/>
  <c r="G23" i="13" l="1"/>
  <c r="S22" i="13"/>
  <c r="G24" i="13" l="1"/>
  <c r="S23" i="13"/>
  <c r="S24" i="13" l="1"/>
  <c r="A4" i="14"/>
  <c r="A6" i="14" l="1"/>
  <c r="M4" i="14"/>
  <c r="M6" i="14" l="1"/>
  <c r="A9" i="14"/>
  <c r="M9" i="14" l="1"/>
  <c r="D9" i="14"/>
  <c r="E9" i="14" l="1"/>
  <c r="P9" i="14"/>
  <c r="Q9" i="14" l="1"/>
  <c r="F9" i="14"/>
  <c r="R9" i="14" l="1"/>
  <c r="U9" i="14" s="1"/>
  <c r="V9" i="14" s="1"/>
  <c r="W9" i="14" s="1"/>
  <c r="I9" i="14"/>
  <c r="J9" i="14" s="1"/>
  <c r="K9" i="14" s="1"/>
  <c r="A15" i="14" s="1"/>
  <c r="A16" i="14" l="1"/>
  <c r="M15" i="14"/>
  <c r="M16" i="14" l="1"/>
  <c r="A17" i="14"/>
  <c r="M17" i="14" l="1"/>
  <c r="G15" i="14"/>
  <c r="G16" i="14" l="1"/>
  <c r="S15" i="14"/>
  <c r="A19" i="14" l="1"/>
  <c r="S16" i="14"/>
  <c r="A20" i="14" l="1"/>
  <c r="M19" i="14"/>
  <c r="A21" i="14" l="1"/>
  <c r="M20" i="14"/>
  <c r="M21" i="14" l="1"/>
  <c r="A22" i="14"/>
  <c r="M22" i="14" l="1"/>
  <c r="G19" i="14"/>
  <c r="S19" i="14" l="1"/>
  <c r="G20" i="14"/>
  <c r="S20" i="14" l="1"/>
  <c r="G21" i="14"/>
  <c r="S21" i="14" l="1"/>
  <c r="G22" i="14"/>
  <c r="B5" i="9" l="1"/>
  <c r="S22" i="14"/>
  <c r="E5" i="9" l="1"/>
  <c r="C5" i="9"/>
  <c r="F5" i="9" l="1"/>
  <c r="H5" i="9" s="1"/>
  <c r="I5" i="9" s="1"/>
  <c r="A4" i="17" s="1"/>
  <c r="B4" i="17" s="1"/>
  <c r="C4" i="17" s="1"/>
  <c r="D4" i="17" s="1"/>
  <c r="E4" i="17" s="1"/>
  <c r="F4" i="17" s="1"/>
  <c r="G4" i="17" s="1"/>
  <c r="A7" i="1" s="1"/>
  <c r="A15" i="1" s="1"/>
  <c r="A20" i="1" s="1"/>
  <c r="A25" i="1" s="1"/>
  <c r="A38" i="1" s="1"/>
  <c r="A42" i="1" s="1"/>
  <c r="A46" i="1" l="1"/>
  <c r="A50" i="1"/>
  <c r="A48" i="1"/>
</calcChain>
</file>

<file path=xl/sharedStrings.xml><?xml version="1.0" encoding="utf-8"?>
<sst xmlns="http://schemas.openxmlformats.org/spreadsheetml/2006/main" count="556" uniqueCount="409">
  <si>
    <t>TOTAL</t>
  </si>
  <si>
    <t>Elderly and Disabled Transportation Assistance Program</t>
  </si>
  <si>
    <t>Rural General Public Transportation Program</t>
  </si>
  <si>
    <t>Name of County</t>
  </si>
  <si>
    <t>Finance Officer</t>
  </si>
  <si>
    <t>Date</t>
  </si>
  <si>
    <t>Rural Operating Assistance Program (ROAP)</t>
  </si>
  <si>
    <t>NCDOT ROAP Report</t>
  </si>
  <si>
    <t>Interest Income from EDTAP Funds</t>
  </si>
  <si>
    <t>Fare Revenue from EDTAP Trips</t>
  </si>
  <si>
    <t>Phone Number</t>
  </si>
  <si>
    <t>Services and Expenditures</t>
  </si>
  <si>
    <t xml:space="preserve">  TOTAL Available EDTAP Funds</t>
  </si>
  <si>
    <t xml:space="preserve"> EDTAP Funds Received from NCDOT</t>
  </si>
  <si>
    <t>EDTAP SUMMARY</t>
  </si>
  <si>
    <t xml:space="preserve"> RGP Funds Received from NCDOT</t>
  </si>
  <si>
    <t>RGP SUMMARY</t>
  </si>
  <si>
    <t>Interest Income from RGP Funds</t>
  </si>
  <si>
    <t xml:space="preserve"> Total EDTAP Funds Expended</t>
  </si>
  <si>
    <t>Local Share amount paid from Contribution(s)</t>
  </si>
  <si>
    <t>Local Share amount paid from Fare Revenue</t>
  </si>
  <si>
    <t>Transit System Name</t>
  </si>
  <si>
    <t>Date Transferred</t>
  </si>
  <si>
    <t>Employment Transportation Program</t>
  </si>
  <si>
    <t xml:space="preserve">  TOTAL Available EMPL Funds</t>
  </si>
  <si>
    <t>Fare Revenue from EMPL Trips</t>
  </si>
  <si>
    <t>Interest Income from EMPL Funds</t>
  </si>
  <si>
    <t xml:space="preserve"> EMPL Funds Received from NCDOT</t>
  </si>
  <si>
    <t>EMPL SUMMARY</t>
  </si>
  <si>
    <t xml:space="preserve"> Total EMPL Funds Expended</t>
  </si>
  <si>
    <t>In the space below, provide a detailed explanation if 10% or more of the EDTAP funds allocated to  the county are being returned to NCDOT.</t>
  </si>
  <si>
    <t>In the space below, provide a detailed explanation if 10% or more of the EMPL funds allocated to  the county are being returned to NCDOT.</t>
  </si>
  <si>
    <t>In the space below, provide a detailed explanation if 10% or more of the RGP funds allocated to the county are being returned to NCDOT.</t>
  </si>
  <si>
    <t>Name of County or Eligible Authority</t>
  </si>
  <si>
    <t>Person(s) Completing this Report</t>
  </si>
  <si>
    <t>Signature of County Finance Officer or Authority Executive Director</t>
  </si>
  <si>
    <t>In the space below, list the name of any agency or organization reported as a subrecipient that did NOT use the coordinated public transit system in the county to provide the trips reported.  Which of the following options did these subrecipients use to provide the EDTAP funded trips - private transit providers, agency/staff vehicles, taxi services or volunteers?</t>
  </si>
  <si>
    <t>In the space below, list the name of any agency or organization reported as a subrecipient that did NOT use the coordinated public transit system in the county to provide the trips reported.  Which of the following options did these subrecipients use to provide the EMPL funded trips - private transit providers, agency/staff vehicles, taxi services or volunteers?</t>
  </si>
  <si>
    <t>Alamance County Transportation Authority 001</t>
  </si>
  <si>
    <t>Albemarle Regional Health Services 053</t>
  </si>
  <si>
    <t>Alleghany County 005</t>
  </si>
  <si>
    <t>Anson County 007</t>
  </si>
  <si>
    <t>AppalCART 189</t>
  </si>
  <si>
    <t>Ashe County Transportation Authority, Inc. 009</t>
  </si>
  <si>
    <t>Avery County Transportation Authority 011</t>
  </si>
  <si>
    <t>Beaufort County Developmental Center Inc. 013</t>
  </si>
  <si>
    <t>Bladen County 017</t>
  </si>
  <si>
    <t>Brunswick Transit System, Inc. 019</t>
  </si>
  <si>
    <t>Buncombe County 021</t>
  </si>
  <si>
    <t>Burke 023</t>
  </si>
  <si>
    <t>Cabarrus County 025</t>
  </si>
  <si>
    <t>Caldwell 027</t>
  </si>
  <si>
    <t>Cape Fear Public Transportation Authority - WAVE Transit 129</t>
  </si>
  <si>
    <t>Carteret County  031</t>
  </si>
  <si>
    <t>Caswell County 033</t>
  </si>
  <si>
    <t>Chatham Transit Network 037</t>
  </si>
  <si>
    <t>Cherokee County 039</t>
  </si>
  <si>
    <t>Choanoke Public Transportation Authority 091</t>
  </si>
  <si>
    <t>Clay County 043</t>
  </si>
  <si>
    <t>Columbus County 047</t>
  </si>
  <si>
    <t>Craven County 049</t>
  </si>
  <si>
    <t>Cumberland County 051</t>
  </si>
  <si>
    <t>Dare County 055</t>
  </si>
  <si>
    <t>Davidson County 057</t>
  </si>
  <si>
    <t>Duplin County 061</t>
  </si>
  <si>
    <t>Durham County- Community Transportation 063</t>
  </si>
  <si>
    <t>Eastern Band of Cherokee Indians 002</t>
  </si>
  <si>
    <t>Gaston County 071</t>
  </si>
  <si>
    <t>Gates County 073</t>
  </si>
  <si>
    <t>Goldsboro-Wayne Transportation Authority- Community Transportation 191</t>
  </si>
  <si>
    <t>Graham County 075</t>
  </si>
  <si>
    <t>Greene County 079</t>
  </si>
  <si>
    <t>Guilford County 081</t>
  </si>
  <si>
    <t>Harnett County 085</t>
  </si>
  <si>
    <t>Hoke County 093</t>
  </si>
  <si>
    <t>Hyde County Non-Profit Private Transportation Corp Inc. 095</t>
  </si>
  <si>
    <t>Iredell County 097</t>
  </si>
  <si>
    <t>Jackson County 099</t>
  </si>
  <si>
    <t>Johnston County Council on Aging, Inc. 101</t>
  </si>
  <si>
    <t>Kerr Area Transportation Authority 185</t>
  </si>
  <si>
    <t>Lee County 105</t>
  </si>
  <si>
    <t>Lenoir County 107</t>
  </si>
  <si>
    <t>Lincoln County 109</t>
  </si>
  <si>
    <t>Macon County 113</t>
  </si>
  <si>
    <t>Madison County Transportation Authority 115</t>
  </si>
  <si>
    <t>Martin County 117</t>
  </si>
  <si>
    <t>McDowell County Transportation Planning Bd Inc. 111</t>
  </si>
  <si>
    <t>Mecklenburg County 119</t>
  </si>
  <si>
    <t>Mitchell County Transportation Authority 121</t>
  </si>
  <si>
    <t>Moore County 125</t>
  </si>
  <si>
    <t>Mountain Projects Inc. 087</t>
  </si>
  <si>
    <t>Onslow United Transit System, Inc. 133</t>
  </si>
  <si>
    <t>Orange County 135</t>
  </si>
  <si>
    <t>Pender Adult Services Inc. 141</t>
  </si>
  <si>
    <t>Person County 145</t>
  </si>
  <si>
    <t>Pitt County/Pitt Area Transit System 147</t>
  </si>
  <si>
    <t>Polk County Transportation Authority 149</t>
  </si>
  <si>
    <t>Randolph County Senior Adults Assoc. Inc. 151</t>
  </si>
  <si>
    <t>Richmond Interagency Transportation, Inc. 153</t>
  </si>
  <si>
    <t>Robeson County 155</t>
  </si>
  <si>
    <t>Rockingham County Council on Aging Inc. 157</t>
  </si>
  <si>
    <t>Rocky Mount- Tar River Transit Community Transportation 127</t>
  </si>
  <si>
    <t>Rowan County 159</t>
  </si>
  <si>
    <t>Rutherford County 161</t>
  </si>
  <si>
    <t>Sampson County 163</t>
  </si>
  <si>
    <t>Scotland County 165</t>
  </si>
  <si>
    <t>Stanly County 167</t>
  </si>
  <si>
    <t>Swain County Focal Point on Aging Inc. 173</t>
  </si>
  <si>
    <t>Transportation Administration of Cleveland County Inc. 045</t>
  </si>
  <si>
    <t>Transylvania County 175</t>
  </si>
  <si>
    <t>Tyrrell County 177</t>
  </si>
  <si>
    <t>Union County 179</t>
  </si>
  <si>
    <t>Wake County 183</t>
  </si>
  <si>
    <t>Washington County 187</t>
  </si>
  <si>
    <t>Western Carolina Community Action Inc. 089</t>
  </si>
  <si>
    <t>Western Piedmont Regional Transportation Authority- Community Transportation 003</t>
  </si>
  <si>
    <t>Wilkes Transportation Authority 193</t>
  </si>
  <si>
    <t>Wilson City 196</t>
  </si>
  <si>
    <t>Wilson County 195</t>
  </si>
  <si>
    <t>Yadkin Valley Economic Development District Inc. 171</t>
  </si>
  <si>
    <t>Yancey County Transportation Authority  199</t>
  </si>
  <si>
    <t>ASHEVILLE 201</t>
  </si>
  <si>
    <t>BURLINGTON 249</t>
  </si>
  <si>
    <t>CARY 203</t>
  </si>
  <si>
    <t>CHAPEL HILL 205</t>
  </si>
  <si>
    <t>CHARLOTTE 207</t>
  </si>
  <si>
    <t>CONCORD/KANNAPOLIS 209</t>
  </si>
  <si>
    <t>DURHAM CITY- Urban 211</t>
  </si>
  <si>
    <t>FAYETTEVILLE 213</t>
  </si>
  <si>
    <t>GASTONIA 215</t>
  </si>
  <si>
    <t>GOLDSBORO WAYNE TRANSPORTATION AUTHORITY- Urban 217</t>
  </si>
  <si>
    <t>GREENSBORO 219</t>
  </si>
  <si>
    <t>GREENVILLE 221</t>
  </si>
  <si>
    <t>HENDERSON COUNTY- APPLE COUNTRY 223</t>
  </si>
  <si>
    <t>HIGH POINT 225</t>
  </si>
  <si>
    <t>JACKSONVILLE 227</t>
  </si>
  <si>
    <t>PIEDMONT AUTHORITY 229</t>
  </si>
  <si>
    <t>RALEIGH - CAT 231</t>
  </si>
  <si>
    <t>RALEIGH - NCSU 233</t>
  </si>
  <si>
    <t>ROCKY MOUNT- Tar River Transit Urban 235</t>
  </si>
  <si>
    <t>SALISBURY 237</t>
  </si>
  <si>
    <t>TRIANGLE TRANSIT 239</t>
  </si>
  <si>
    <t>WILMINGTON 241</t>
  </si>
  <si>
    <t>WINSTON-SALEM 245</t>
  </si>
  <si>
    <t>WESTERN PIEDMONT REGIONAL TRANSPORTATION AUTHORITY- Urban 247</t>
  </si>
  <si>
    <t>Alamance 01</t>
  </si>
  <si>
    <t>Alexander 02</t>
  </si>
  <si>
    <t>Alleghany 03</t>
  </si>
  <si>
    <t>Anson 04</t>
  </si>
  <si>
    <t>Ashe 05</t>
  </si>
  <si>
    <t>Avery 06</t>
  </si>
  <si>
    <t>Beaufort 07</t>
  </si>
  <si>
    <t>Bertie 08</t>
  </si>
  <si>
    <t>Bladen 09</t>
  </si>
  <si>
    <t>Brunswick 10</t>
  </si>
  <si>
    <t>Buncombe 11</t>
  </si>
  <si>
    <t>Burke 12</t>
  </si>
  <si>
    <t>Cabarrus 13</t>
  </si>
  <si>
    <t>Caldwell 14</t>
  </si>
  <si>
    <t>Camden 15</t>
  </si>
  <si>
    <t>Carteret 16</t>
  </si>
  <si>
    <t>Caswell 17</t>
  </si>
  <si>
    <t>Catawba 18</t>
  </si>
  <si>
    <t>Chatham 19</t>
  </si>
  <si>
    <t>Cherokee 20</t>
  </si>
  <si>
    <t>Chowan 21</t>
  </si>
  <si>
    <t>Clay 22</t>
  </si>
  <si>
    <t>Cleveland 23</t>
  </si>
  <si>
    <t>Columbus 24</t>
  </si>
  <si>
    <t>Craven 25</t>
  </si>
  <si>
    <t>Cumberland 26</t>
  </si>
  <si>
    <t>Currituck 27</t>
  </si>
  <si>
    <t>Dare 28</t>
  </si>
  <si>
    <t>Davidson 29</t>
  </si>
  <si>
    <t>Davie 30</t>
  </si>
  <si>
    <t>Duplin 31</t>
  </si>
  <si>
    <t>Durham 32</t>
  </si>
  <si>
    <t>Edgecombe 33</t>
  </si>
  <si>
    <t>Forsyth 34</t>
  </si>
  <si>
    <t>Franklin 35</t>
  </si>
  <si>
    <t>Gaston 36</t>
  </si>
  <si>
    <t>Gates 37</t>
  </si>
  <si>
    <t>Graham 38</t>
  </si>
  <si>
    <t>Granville 39</t>
  </si>
  <si>
    <t>Greene 40</t>
  </si>
  <si>
    <t>Guilford 41</t>
  </si>
  <si>
    <t>Halifax 42</t>
  </si>
  <si>
    <t>Harnett 43</t>
  </si>
  <si>
    <t>Haywood 44</t>
  </si>
  <si>
    <t>Henderson 45</t>
  </si>
  <si>
    <t>Hertford 46</t>
  </si>
  <si>
    <t>Hoke 47</t>
  </si>
  <si>
    <t>Hyde 48</t>
  </si>
  <si>
    <t>Iredell 49</t>
  </si>
  <si>
    <t>Jackson 50</t>
  </si>
  <si>
    <t>Johnston 51</t>
  </si>
  <si>
    <t>Jones 52</t>
  </si>
  <si>
    <t>Lee 53</t>
  </si>
  <si>
    <t>Lenoir 54</t>
  </si>
  <si>
    <t>Lincoln 55</t>
  </si>
  <si>
    <t>Macon 56</t>
  </si>
  <si>
    <t>Madison 57</t>
  </si>
  <si>
    <t>Martin 58</t>
  </si>
  <si>
    <t>McDowell 59</t>
  </si>
  <si>
    <t>Mecklenburg 60</t>
  </si>
  <si>
    <t>Mitchell 61</t>
  </si>
  <si>
    <t>Montgomery 62</t>
  </si>
  <si>
    <t>Moore 63</t>
  </si>
  <si>
    <t>Nash 64</t>
  </si>
  <si>
    <t>New Hanover 65</t>
  </si>
  <si>
    <t>Northampton 66</t>
  </si>
  <si>
    <t>Onslow 67</t>
  </si>
  <si>
    <t>Orange 68</t>
  </si>
  <si>
    <t>Pamlico 69</t>
  </si>
  <si>
    <t>Pasquotank 70</t>
  </si>
  <si>
    <t>Pender 71</t>
  </si>
  <si>
    <t>Perquimans 72</t>
  </si>
  <si>
    <t>Person 73</t>
  </si>
  <si>
    <t>Pitt 74</t>
  </si>
  <si>
    <t>Polk 75</t>
  </si>
  <si>
    <t>Randolph 76</t>
  </si>
  <si>
    <t>Richmond 77</t>
  </si>
  <si>
    <t>Robeson 78</t>
  </si>
  <si>
    <t>Rockingham 79</t>
  </si>
  <si>
    <t>Rowan 80</t>
  </si>
  <si>
    <t>Rutherford 81</t>
  </si>
  <si>
    <t>Sampson 82</t>
  </si>
  <si>
    <t>Scotland 83</t>
  </si>
  <si>
    <t>Stanly 84</t>
  </si>
  <si>
    <t>Stokes 85</t>
  </si>
  <si>
    <t>Surry 86</t>
  </si>
  <si>
    <t>Swain 87</t>
  </si>
  <si>
    <t>Transylvania 88</t>
  </si>
  <si>
    <t>Tyrrell 89</t>
  </si>
  <si>
    <t>Union 90</t>
  </si>
  <si>
    <t>Vance 91</t>
  </si>
  <si>
    <t>Wake 92</t>
  </si>
  <si>
    <t>Warren 93</t>
  </si>
  <si>
    <t>Washington 94</t>
  </si>
  <si>
    <t>Watauga 95</t>
  </si>
  <si>
    <t>Wayne 96</t>
  </si>
  <si>
    <t>Wilkes 97</t>
  </si>
  <si>
    <t>Wilson 98</t>
  </si>
  <si>
    <t>Yadkin 99</t>
  </si>
  <si>
    <t>Yancey 00</t>
  </si>
  <si>
    <t>EDTAP</t>
  </si>
  <si>
    <t>RGP</t>
  </si>
  <si>
    <t>EMPL</t>
  </si>
  <si>
    <t>Expended EMPL Funds</t>
  </si>
  <si>
    <t>Unexpended EDTAP Funds</t>
  </si>
  <si>
    <t>Expended EDTAP Funds</t>
  </si>
  <si>
    <t>Unexpended EMPL Funds</t>
  </si>
  <si>
    <t>Unexpended RGP Funds</t>
  </si>
  <si>
    <t>Number of EMPL funded trips provided</t>
  </si>
  <si>
    <t>Number of EDTAP funded trips provided</t>
  </si>
  <si>
    <t>Additional Fare Revenue from RGP Trips</t>
  </si>
  <si>
    <t>Number of RGP funded trips provided</t>
  </si>
  <si>
    <t>Total Available EDTAP Funds</t>
  </si>
  <si>
    <t>Total Available EMPL Funds</t>
  </si>
  <si>
    <t>10% Local Share</t>
  </si>
  <si>
    <t>Amount Expended to provide EDTAP trips</t>
  </si>
  <si>
    <t>Total Expended on RGP Trips</t>
  </si>
  <si>
    <t>List member counties in the regional system (regional system use only)</t>
  </si>
  <si>
    <t>Bertie</t>
  </si>
  <si>
    <t>From</t>
  </si>
  <si>
    <t>To Program</t>
  </si>
  <si>
    <t>To Sub-recipients</t>
  </si>
  <si>
    <t>JARC</t>
  </si>
  <si>
    <t>New Freedom</t>
  </si>
  <si>
    <t>RGPRGP</t>
  </si>
  <si>
    <t>RGPJARC</t>
  </si>
  <si>
    <t>RGPNewFreedom</t>
  </si>
  <si>
    <t>EDTAPJARC</t>
  </si>
  <si>
    <t>EDTAPNewFreedom</t>
  </si>
  <si>
    <t>RGP5310ED</t>
  </si>
  <si>
    <t>EMPLRGP</t>
  </si>
  <si>
    <t>EMPLEDTAP</t>
  </si>
  <si>
    <t>EMPLEMPL</t>
  </si>
  <si>
    <t>Currituck</t>
  </si>
  <si>
    <t>Camden</t>
  </si>
  <si>
    <t>Pasquotank</t>
  </si>
  <si>
    <t>Perquimans</t>
  </si>
  <si>
    <t>Northhampton</t>
  </si>
  <si>
    <t>Hertford</t>
  </si>
  <si>
    <t>Halifax</t>
  </si>
  <si>
    <t>Nash</t>
  </si>
  <si>
    <t>Edgecombe</t>
  </si>
  <si>
    <t>Craven</t>
  </si>
  <si>
    <t>Jones</t>
  </si>
  <si>
    <t>Pamlico</t>
  </si>
  <si>
    <t>Granville</t>
  </si>
  <si>
    <t>Vance</t>
  </si>
  <si>
    <t>Warren</t>
  </si>
  <si>
    <t>Franklin</t>
  </si>
  <si>
    <t>Randolph</t>
  </si>
  <si>
    <t>Montgomery</t>
  </si>
  <si>
    <t>Alexander</t>
  </si>
  <si>
    <t>Catawba</t>
  </si>
  <si>
    <t>Burke</t>
  </si>
  <si>
    <t>Caldwell</t>
  </si>
  <si>
    <t>Davie</t>
  </si>
  <si>
    <t>Yadkin</t>
  </si>
  <si>
    <t>Surry</t>
  </si>
  <si>
    <t>Stokes</t>
  </si>
  <si>
    <t>Sub-recipient</t>
  </si>
  <si>
    <t>Members in regional system</t>
  </si>
  <si>
    <t>EMPLJARC</t>
  </si>
  <si>
    <t>EMPLNewFreedom</t>
  </si>
  <si>
    <t>EDTAP5310ED</t>
  </si>
  <si>
    <t>EMPL5310ED</t>
  </si>
  <si>
    <t>Total</t>
  </si>
  <si>
    <t>ROAP Funds disbursed to County</t>
  </si>
  <si>
    <t>Additional Local Contribution</t>
  </si>
  <si>
    <t>Annual Summary</t>
  </si>
  <si>
    <t>Q1</t>
  </si>
  <si>
    <t>Q2</t>
  </si>
  <si>
    <t>Additional EDTAP Trips not Funded by ROAP</t>
  </si>
  <si>
    <t>EDTAPEDTAP</t>
  </si>
  <si>
    <t>Amount Expended to provide EMPL trips</t>
  </si>
  <si>
    <t>Additional EMPL Trips not Funded by ROAP</t>
  </si>
  <si>
    <t>Additional RGP Trips not Funded by ROAP</t>
  </si>
  <si>
    <t>Total Available RGP Funds (not include 10% local match)</t>
  </si>
  <si>
    <t>Unexpended ROAP Funds</t>
  </si>
  <si>
    <t>Based on RGP expenditures (column 54 + 55), fare revenue plus any contribution to local share (row 56 + 57) should equal:</t>
  </si>
  <si>
    <t>Transfers log</t>
  </si>
  <si>
    <t>EMPL Funds transferred to county in regional system</t>
  </si>
  <si>
    <t>EMPL Funds received from county in regional system</t>
  </si>
  <si>
    <t>EDTAP Subrecipient(s) from the County</t>
  </si>
  <si>
    <t>EMPL Subrecipient(s) from the County</t>
  </si>
  <si>
    <t>RGP Subrecipient from the County</t>
  </si>
  <si>
    <t>Deficit or Surplus</t>
  </si>
  <si>
    <t>State Share</t>
  </si>
  <si>
    <t>For RGP program, the blue bar is original total allocation/0.9</t>
  </si>
  <si>
    <t>Total Funds Expended</t>
  </si>
  <si>
    <t>% of EDTAP funded trips provided by the transit system</t>
  </si>
  <si>
    <t>% of EMPL funded trips provided by the transit system</t>
  </si>
  <si>
    <t>% of RGP funded trips provided by the transit system</t>
  </si>
  <si>
    <t>5311 funds</t>
  </si>
  <si>
    <t>5307 funds</t>
  </si>
  <si>
    <t>RGP5311funds</t>
  </si>
  <si>
    <t>RGP5307funds</t>
  </si>
  <si>
    <t>EDTAP5311funds</t>
  </si>
  <si>
    <t>EDTAP5307funds</t>
  </si>
  <si>
    <t>EMPL5311funds</t>
  </si>
  <si>
    <t>EMPL5307funds</t>
  </si>
  <si>
    <t>5310 funds</t>
  </si>
  <si>
    <t>RGP5310funds</t>
  </si>
  <si>
    <t>EDTAP5310funds</t>
  </si>
  <si>
    <t>EMPL5310funds</t>
  </si>
  <si>
    <t>Period 1</t>
  </si>
  <si>
    <t>Period 2</t>
  </si>
  <si>
    <t>Total number of EDTAP trips provided</t>
  </si>
  <si>
    <t>Local funds expended on ROAP trips</t>
  </si>
  <si>
    <t>Total Local funds expended on ROAP trips</t>
  </si>
  <si>
    <t>Amount Expended</t>
  </si>
  <si>
    <t>Original Allocation vs Amount Expended</t>
  </si>
  <si>
    <t>Original Allocation</t>
  </si>
  <si>
    <t>* Amounts showing in columns 71 are the additional local funds used by provide ROAP trips beyond the funds allocated</t>
  </si>
  <si>
    <t>Reconciliation of FY20 ROAP funds for County or Eligible Authority</t>
  </si>
  <si>
    <t>Fiscal Year Total</t>
  </si>
  <si>
    <t>EDTAP Funds received from county in regional system</t>
  </si>
  <si>
    <t>EDTAP Funds transferred to county in regional system</t>
  </si>
  <si>
    <t>Original Sub-allocation</t>
  </si>
  <si>
    <t>Sub-Allocation adjustment</t>
  </si>
  <si>
    <t>Public Transit System Trips</t>
  </si>
  <si>
    <t>Non-Public Transit System Trips</t>
  </si>
  <si>
    <t>Total number of EMPL trips provided</t>
  </si>
  <si>
    <t>State Share (90%)</t>
  </si>
  <si>
    <t>Local Share (10%)</t>
  </si>
  <si>
    <t>Total RGP Trips</t>
  </si>
  <si>
    <t>RGP Funds transferred to county in regional system</t>
  </si>
  <si>
    <t>RGP Funds received from county in regional system</t>
  </si>
  <si>
    <t>Period 1 End Date</t>
  </si>
  <si>
    <t>Period 2 End Date</t>
  </si>
  <si>
    <t xml:space="preserve">  Total Available RGP + 10% local share</t>
  </si>
  <si>
    <t>List all agencies, organizations or transit systems that were sub-allocated ROAP funds from the county</t>
  </si>
  <si>
    <t>Period</t>
  </si>
  <si>
    <t>From ROAP Program</t>
  </si>
  <si>
    <t>From Sub-Recipient</t>
  </si>
  <si>
    <t>To ROAP Program</t>
  </si>
  <si>
    <t>To Sub-Recipient</t>
  </si>
  <si>
    <t>Amount Transferred</t>
  </si>
  <si>
    <t>Cumulative Deficit or Surplus</t>
  </si>
  <si>
    <t>Amount Transferred From</t>
  </si>
  <si>
    <t>Net ROAP Allocation</t>
  </si>
  <si>
    <t xml:space="preserve">Amount Transferred To </t>
  </si>
  <si>
    <t>Additional Trips Provided by the System and Trips Cost (OPTIONAL)</t>
  </si>
  <si>
    <t>Additional Trips not Funded by ROAP during the reporting period (OPTIONAL)</t>
  </si>
  <si>
    <t>Balance from previous period</t>
  </si>
  <si>
    <t>Amount Transferred to Non-ROAP</t>
  </si>
  <si>
    <t>Other Funds Available for Trips</t>
  </si>
  <si>
    <t>I further certify that all funds were expended in accordance with applicable federal, state and local guidelines.</t>
  </si>
  <si>
    <t>I also understand that future disbursements will not be made until the invoice has been paid.</t>
  </si>
  <si>
    <t>Total additional ROAP trips provided using Local Funds</t>
  </si>
  <si>
    <t>Unexpended ROAP funds (over $50.00) will be returned to the NCDOT Integrated Mobility Division.  Do not send a check with the ROAP Report.  Checks will be returned if received.  After an NCDOT review of this report,</t>
  </si>
  <si>
    <t>Rural State Operating</t>
  </si>
  <si>
    <t>I hereby certify, to the best of my knowledge, the following information is accurate and complete for each reporting period.</t>
  </si>
  <si>
    <t>EDTAPRuralStateOperating</t>
  </si>
  <si>
    <t>EMPLRuralStateOperating</t>
  </si>
  <si>
    <t>RGPRuralStateOperating</t>
  </si>
  <si>
    <t>RGPEDTAP</t>
  </si>
  <si>
    <t>RGPEMPL</t>
  </si>
  <si>
    <t>Total Expended Funds</t>
  </si>
  <si>
    <t>RGP Funds transferred to JARC, New Freedom, 5310 E&amp;D, 5311 or Rural State Operating for Local Match</t>
  </si>
  <si>
    <t>Funds transferred from EMPL/RGP to EDTAP within county</t>
  </si>
  <si>
    <t>EDTAP Funds transferred to JARC, New Freedom, 5310 E&amp;D, 5311 or Rural State Operating  for Local Match</t>
  </si>
  <si>
    <t>Net funds transferred from/to EMPL within the county</t>
  </si>
  <si>
    <t>Net funds transferred from/to RGP within the county</t>
  </si>
  <si>
    <t>EMPL Funds transferred to JARC, New Freedom, 5310 E&amp;D. 5311 or Rural State Operating for Local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</si>
</sst>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mmmm\ d\,\ yyyy"/>
    <numFmt numFmtId="166" formatCode="_(&quot;$&quot;* #,##0_);_(&quot;$&quot;* \(#,##0\);_(&quot;$&quot;* &quot;-&quot;??_);_(@_)"/>
    <numFmt numFmtId="167" formatCode="_(* #,##0_);_(* \(#,##0\);_(* &quot;-&quot;??_);_(@_)"/>
    <numFmt numFmtId="168" formatCode="[$$-409]#,##0.00_);\([$$-409]#,##0.00\)"/>
    <numFmt numFmtId="169" formatCode="_(&quot;$&quot;* #,##0.0_);_(&quot;$&quot;* \(#,##0.0\);_(&quot;$&quot;* &quot;-&quot;??_);_(@_)"/>
  </numFmts>
  <fonts count="26" x14ac:knownFonts="1">
    <font>
      <sz val="10"/>
      <name val="Arial"/>
    </font>
    <font>
      <sz val="10"/>
      <name val="Arial"/>
      <family val="2"/>
    </font>
    <font>
      <sz val="8"/>
      <name val="Arial"/>
      <family val="2"/>
    </font>
    <font>
      <sz val="7"/>
      <name val="Arial"/>
      <family val="2"/>
    </font>
    <font>
      <sz val="9"/>
      <name val="Arial"/>
      <family val="2"/>
    </font>
    <font>
      <b/>
      <sz val="12"/>
      <name val="Arial"/>
      <family val="2"/>
    </font>
    <font>
      <b/>
      <sz val="10"/>
      <name val="Arial"/>
      <family val="2"/>
    </font>
    <font>
      <b/>
      <sz val="9"/>
      <name val="Arial"/>
      <family val="2"/>
    </font>
    <font>
      <sz val="10"/>
      <name val="Arial"/>
      <family val="2"/>
    </font>
    <font>
      <b/>
      <sz val="8"/>
      <name val="Arial"/>
      <family val="2"/>
    </font>
    <font>
      <b/>
      <sz val="7"/>
      <name val="Arial"/>
      <family val="2"/>
    </font>
    <font>
      <sz val="6"/>
      <name val="Arial"/>
      <family val="2"/>
    </font>
    <font>
      <b/>
      <sz val="11"/>
      <name val="Arial"/>
      <family val="2"/>
    </font>
    <font>
      <b/>
      <sz val="6"/>
      <name val="Arial"/>
      <family val="2"/>
    </font>
    <font>
      <sz val="11"/>
      <name val="Arial"/>
      <family val="2"/>
    </font>
    <font>
      <sz val="7.5"/>
      <name val="Arial"/>
      <family val="2"/>
    </font>
    <font>
      <sz val="10"/>
      <color rgb="FF9C0006"/>
      <name val="Arial"/>
      <family val="2"/>
    </font>
    <font>
      <sz val="10"/>
      <color rgb="FF006100"/>
      <name val="Arial"/>
      <family val="2"/>
    </font>
    <font>
      <sz val="10"/>
      <color rgb="FF9C6500"/>
      <name val="Arial"/>
      <family val="2"/>
    </font>
    <font>
      <sz val="12"/>
      <color rgb="FF1F497D"/>
      <name val="Century Schoolbook"/>
      <family val="1"/>
    </font>
    <font>
      <sz val="7.5"/>
      <color rgb="FFFF0000"/>
      <name val="Arial"/>
      <family val="2"/>
    </font>
    <font>
      <sz val="10"/>
      <color rgb="FFFF0000"/>
      <name val="Arial"/>
      <family val="2"/>
    </font>
    <font>
      <sz val="18"/>
      <name val="Arial"/>
      <family val="2"/>
    </font>
    <font>
      <b/>
      <sz val="16"/>
      <name val="Arial"/>
      <family val="2"/>
    </font>
    <font>
      <b/>
      <sz val="14"/>
      <name val="Arial"/>
      <family val="2"/>
    </font>
    <font>
      <sz val="14"/>
      <name val="Arial"/>
      <family val="2"/>
    </font>
  </fonts>
  <fills count="17">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rgb="FF99CC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theme="9"/>
        <bgColor indexed="64"/>
      </patternFill>
    </fill>
    <fill>
      <patternFill patternType="solid">
        <fgColor theme="7"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s>
  <cellStyleXfs count="9">
    <xf numFmtId="0" fontId="0" fillId="0" borderId="0"/>
    <xf numFmtId="0" fontId="16" fillId="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8" fillId="0" borderId="0"/>
    <xf numFmtId="9" fontId="1" fillId="0" borderId="0" applyFont="0" applyFill="0" applyBorder="0" applyAlignment="0" applyProtection="0"/>
  </cellStyleXfs>
  <cellXfs count="609">
    <xf numFmtId="0" fontId="0" fillId="0" borderId="0" xfId="0"/>
    <xf numFmtId="0" fontId="0" fillId="0" borderId="0" xfId="0" applyBorder="1"/>
    <xf numFmtId="0" fontId="8" fillId="0" borderId="0" xfId="0" applyFont="1"/>
    <xf numFmtId="0" fontId="0" fillId="0" borderId="2" xfId="0" applyBorder="1" applyProtection="1"/>
    <xf numFmtId="0" fontId="0" fillId="0" borderId="0" xfId="0" applyBorder="1" applyProtection="1"/>
    <xf numFmtId="0" fontId="0" fillId="0" borderId="3" xfId="0" applyBorder="1" applyProtection="1"/>
    <xf numFmtId="0" fontId="11" fillId="1" borderId="1" xfId="0" applyFont="1" applyFill="1" applyBorder="1" applyAlignment="1" applyProtection="1">
      <alignment horizontal="center" wrapText="1"/>
    </xf>
    <xf numFmtId="0" fontId="0" fillId="0" borderId="2" xfId="0" applyFill="1" applyBorder="1" applyAlignment="1" applyProtection="1">
      <alignment horizontal="center"/>
    </xf>
    <xf numFmtId="0" fontId="0" fillId="0" borderId="0" xfId="0" applyFill="1" applyBorder="1" applyAlignment="1" applyProtection="1">
      <alignment horizontal="center"/>
    </xf>
    <xf numFmtId="0" fontId="0" fillId="0" borderId="3" xfId="0" applyFill="1" applyBorder="1" applyAlignment="1" applyProtection="1">
      <alignment horizontal="center"/>
    </xf>
    <xf numFmtId="3" fontId="13" fillId="0" borderId="5" xfId="0" applyNumberFormat="1" applyFont="1" applyBorder="1" applyAlignment="1" applyProtection="1"/>
    <xf numFmtId="3" fontId="13" fillId="0" borderId="6" xfId="0" applyNumberFormat="1" applyFont="1" applyBorder="1" applyAlignment="1" applyProtection="1"/>
    <xf numFmtId="164" fontId="15" fillId="1" borderId="7" xfId="0" applyNumberFormat="1" applyFont="1" applyFill="1" applyBorder="1" applyAlignment="1" applyProtection="1"/>
    <xf numFmtId="0" fontId="6" fillId="9" borderId="0" xfId="0" applyFont="1" applyFill="1" applyAlignment="1" applyProtection="1">
      <alignment vertical="center"/>
    </xf>
    <xf numFmtId="0" fontId="6" fillId="0" borderId="0" xfId="0" applyFont="1" applyAlignment="1" applyProtection="1">
      <alignment vertical="center"/>
    </xf>
    <xf numFmtId="0" fontId="0" fillId="9" borderId="10" xfId="0" applyFill="1" applyBorder="1" applyAlignment="1" applyProtection="1"/>
    <xf numFmtId="0" fontId="0" fillId="9" borderId="0" xfId="0" applyFill="1" applyBorder="1" applyAlignment="1" applyProtection="1"/>
    <xf numFmtId="0" fontId="0" fillId="9" borderId="11" xfId="0" applyFill="1" applyBorder="1" applyAlignment="1" applyProtection="1"/>
    <xf numFmtId="0" fontId="0" fillId="9" borderId="0" xfId="0" applyFill="1" applyProtection="1"/>
    <xf numFmtId="0" fontId="0" fillId="0" borderId="0" xfId="0" applyProtection="1"/>
    <xf numFmtId="0" fontId="0" fillId="0" borderId="0" xfId="0" applyFill="1" applyBorder="1" applyAlignment="1" applyProtection="1"/>
    <xf numFmtId="0" fontId="4" fillId="9" borderId="11" xfId="0" applyFont="1" applyFill="1" applyBorder="1" applyAlignment="1" applyProtection="1"/>
    <xf numFmtId="0" fontId="3" fillId="9" borderId="10" xfId="0" applyFont="1" applyFill="1" applyBorder="1" applyAlignment="1" applyProtection="1">
      <alignment horizontal="center"/>
    </xf>
    <xf numFmtId="0" fontId="0" fillId="9" borderId="0" xfId="0" applyFill="1" applyBorder="1" applyProtection="1"/>
    <xf numFmtId="0" fontId="0" fillId="9" borderId="11" xfId="0" applyFill="1" applyBorder="1" applyProtection="1"/>
    <xf numFmtId="0" fontId="0" fillId="9" borderId="10" xfId="0" applyFill="1" applyBorder="1" applyProtection="1"/>
    <xf numFmtId="0" fontId="0" fillId="9" borderId="0" xfId="0" applyFill="1" applyBorder="1" applyAlignment="1" applyProtection="1">
      <alignment horizontal="right"/>
    </xf>
    <xf numFmtId="0" fontId="2" fillId="9" borderId="0" xfId="0" applyFont="1" applyFill="1" applyBorder="1" applyAlignment="1" applyProtection="1">
      <alignment horizontal="right"/>
    </xf>
    <xf numFmtId="0" fontId="8" fillId="9" borderId="0" xfId="0" applyFont="1" applyFill="1" applyProtection="1"/>
    <xf numFmtId="0" fontId="8" fillId="0" borderId="0" xfId="0" applyFont="1" applyProtection="1"/>
    <xf numFmtId="0" fontId="3" fillId="9" borderId="0" xfId="0" applyFont="1" applyFill="1" applyAlignment="1" applyProtection="1">
      <alignment horizontal="center"/>
    </xf>
    <xf numFmtId="0" fontId="3" fillId="0" borderId="0" xfId="0" applyFont="1" applyAlignment="1" applyProtection="1">
      <alignment horizontal="center"/>
    </xf>
    <xf numFmtId="0" fontId="11" fillId="0" borderId="1" xfId="0" applyFont="1" applyBorder="1" applyAlignment="1" applyProtection="1">
      <alignment horizontal="center" wrapText="1"/>
    </xf>
    <xf numFmtId="0" fontId="11" fillId="9" borderId="0" xfId="0" applyFont="1" applyFill="1" applyAlignment="1" applyProtection="1">
      <alignment horizontal="center" wrapText="1"/>
    </xf>
    <xf numFmtId="0" fontId="11" fillId="0" borderId="0" xfId="0" applyFont="1" applyAlignment="1" applyProtection="1">
      <alignment horizontal="center" wrapText="1"/>
    </xf>
    <xf numFmtId="167" fontId="15" fillId="0" borderId="1" xfId="2" applyNumberFormat="1" applyFont="1" applyFill="1" applyBorder="1" applyAlignment="1" applyProtection="1"/>
    <xf numFmtId="0" fontId="9" fillId="9" borderId="0" xfId="0" applyFont="1" applyFill="1" applyProtection="1"/>
    <xf numFmtId="0" fontId="9" fillId="0" borderId="0" xfId="0" applyFont="1" applyProtection="1"/>
    <xf numFmtId="0" fontId="0" fillId="9" borderId="0" xfId="0" applyFill="1" applyAlignment="1" applyProtection="1">
      <alignment vertical="center"/>
    </xf>
    <xf numFmtId="0" fontId="0" fillId="0" borderId="0" xfId="0"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xf>
    <xf numFmtId="0" fontId="0" fillId="0" borderId="0" xfId="0" applyFill="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0" fillId="0" borderId="0" xfId="0" applyFill="1" applyAlignment="1" applyProtection="1">
      <alignment vertical="center"/>
    </xf>
    <xf numFmtId="164" fontId="2" fillId="0" borderId="0" xfId="0" applyNumberFormat="1" applyFont="1" applyFill="1" applyAlignment="1" applyProtection="1">
      <alignment horizontal="left" vertical="center"/>
    </xf>
    <xf numFmtId="0" fontId="0" fillId="9" borderId="0" xfId="0" applyFill="1" applyAlignment="1" applyProtection="1"/>
    <xf numFmtId="0" fontId="0" fillId="0" borderId="0" xfId="0" applyFill="1" applyAlignment="1" applyProtection="1"/>
    <xf numFmtId="0" fontId="13"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2" fillId="0" borderId="0" xfId="0" applyFont="1" applyFill="1" applyAlignment="1" applyProtection="1">
      <alignment horizontal="center" vertical="center" wrapText="1"/>
    </xf>
    <xf numFmtId="0" fontId="0" fillId="0" borderId="0" xfId="0" applyFill="1" applyAlignment="1" applyProtection="1">
      <alignment vertical="center" wrapText="1"/>
    </xf>
    <xf numFmtId="0" fontId="6" fillId="0" borderId="0" xfId="0" applyFont="1" applyFill="1" applyAlignment="1" applyProtection="1">
      <alignment horizontal="center" vertical="center"/>
    </xf>
    <xf numFmtId="0" fontId="3" fillId="0" borderId="0" xfId="0" applyFont="1" applyFill="1" applyAlignment="1" applyProtection="1">
      <alignment horizontal="center"/>
    </xf>
    <xf numFmtId="0" fontId="11" fillId="0" borderId="0" xfId="0" applyFont="1" applyFill="1" applyAlignment="1" applyProtection="1">
      <alignment horizontal="center" wrapText="1"/>
    </xf>
    <xf numFmtId="0" fontId="0" fillId="0" borderId="0" xfId="0" applyFill="1" applyAlignment="1" applyProtection="1">
      <alignment horizontal="center"/>
    </xf>
    <xf numFmtId="0" fontId="10"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8" fontId="2" fillId="0" borderId="0" xfId="0" applyNumberFormat="1" applyFont="1" applyFill="1" applyAlignment="1" applyProtection="1">
      <alignment horizontal="left" vertical="center"/>
    </xf>
    <xf numFmtId="0" fontId="0" fillId="4" borderId="4" xfId="0" applyFill="1" applyBorder="1" applyProtection="1"/>
    <xf numFmtId="0" fontId="4" fillId="4" borderId="16" xfId="0" applyFont="1" applyFill="1" applyBorder="1" applyAlignment="1" applyProtection="1">
      <alignment horizontal="right"/>
    </xf>
    <xf numFmtId="0" fontId="2" fillId="4" borderId="16" xfId="0" applyFont="1" applyFill="1" applyBorder="1" applyAlignment="1" applyProtection="1">
      <alignment horizontal="center"/>
    </xf>
    <xf numFmtId="0" fontId="0" fillId="4" borderId="16" xfId="0" applyFill="1" applyBorder="1" applyAlignment="1" applyProtection="1">
      <alignment horizontal="right"/>
    </xf>
    <xf numFmtId="0" fontId="0" fillId="4" borderId="16" xfId="0" applyFill="1" applyBorder="1" applyProtection="1"/>
    <xf numFmtId="0" fontId="0" fillId="4" borderId="15" xfId="0" applyFill="1" applyBorder="1" applyProtection="1"/>
    <xf numFmtId="0" fontId="6" fillId="0" borderId="0" xfId="0" applyFont="1" applyBorder="1" applyAlignment="1" applyProtection="1">
      <alignment vertical="center"/>
    </xf>
    <xf numFmtId="0" fontId="0" fillId="0" borderId="2" xfId="0" applyFill="1" applyBorder="1" applyAlignment="1" applyProtection="1"/>
    <xf numFmtId="0" fontId="0" fillId="0" borderId="3" xfId="0" applyFill="1" applyBorder="1" applyAlignment="1" applyProtection="1"/>
    <xf numFmtId="0" fontId="0" fillId="0" borderId="0" xfId="0" applyFill="1" applyProtection="1"/>
    <xf numFmtId="0" fontId="14" fillId="0" borderId="0" xfId="0" applyFont="1" applyBorder="1" applyProtection="1"/>
    <xf numFmtId="0" fontId="12" fillId="0" borderId="0" xfId="0" applyFont="1" applyFill="1" applyAlignment="1" applyProtection="1">
      <alignment horizontal="center" vertical="center"/>
    </xf>
    <xf numFmtId="0" fontId="14" fillId="0" borderId="0" xfId="0" applyFont="1" applyProtection="1"/>
    <xf numFmtId="9" fontId="0" fillId="0" borderId="0" xfId="8" applyFont="1" applyAlignment="1" applyProtection="1">
      <alignment vertical="center"/>
    </xf>
    <xf numFmtId="0" fontId="3" fillId="0" borderId="0" xfId="0" applyFont="1" applyFill="1" applyAlignment="1" applyProtection="1">
      <alignment horizontal="center" wrapText="1"/>
    </xf>
    <xf numFmtId="0" fontId="4" fillId="0" borderId="0" xfId="0" applyFont="1" applyFill="1" applyProtection="1"/>
    <xf numFmtId="0" fontId="4" fillId="0" borderId="0" xfId="0" applyFont="1" applyFill="1" applyBorder="1" applyProtection="1"/>
    <xf numFmtId="0" fontId="4" fillId="0" borderId="2" xfId="0" applyFont="1" applyFill="1" applyBorder="1" applyProtection="1"/>
    <xf numFmtId="0" fontId="0" fillId="2" borderId="4" xfId="0" applyFill="1" applyBorder="1" applyAlignment="1" applyProtection="1">
      <alignment horizontal="center"/>
    </xf>
    <xf numFmtId="0" fontId="0" fillId="2" borderId="16" xfId="0" applyFill="1" applyBorder="1" applyAlignment="1" applyProtection="1">
      <alignment horizontal="center"/>
    </xf>
    <xf numFmtId="0" fontId="0" fillId="2" borderId="15" xfId="0" applyFill="1" applyBorder="1" applyAlignment="1" applyProtection="1">
      <alignment horizontal="center"/>
    </xf>
    <xf numFmtId="0" fontId="2" fillId="0" borderId="0"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0" xfId="0" applyFont="1" applyFill="1" applyAlignment="1" applyProtection="1">
      <alignment wrapText="1"/>
    </xf>
    <xf numFmtId="0" fontId="0" fillId="10" borderId="4" xfId="0" applyFill="1" applyBorder="1" applyAlignment="1" applyProtection="1">
      <alignment horizontal="center"/>
    </xf>
    <xf numFmtId="0" fontId="0" fillId="10" borderId="16" xfId="0" applyFill="1" applyBorder="1" applyAlignment="1" applyProtection="1">
      <alignment horizontal="center"/>
    </xf>
    <xf numFmtId="0" fontId="0" fillId="10" borderId="15" xfId="0" applyFill="1" applyBorder="1" applyAlignment="1" applyProtection="1">
      <alignment horizontal="center"/>
    </xf>
    <xf numFmtId="0" fontId="4" fillId="2" borderId="4" xfId="0" applyFont="1" applyFill="1" applyBorder="1" applyAlignment="1" applyProtection="1">
      <alignment vertical="center"/>
    </xf>
    <xf numFmtId="0" fontId="4" fillId="2" borderId="16" xfId="0" applyFont="1" applyFill="1" applyBorder="1" applyAlignment="1" applyProtection="1">
      <alignment vertical="center"/>
    </xf>
    <xf numFmtId="0" fontId="2" fillId="0" borderId="0" xfId="0" applyFont="1" applyFill="1" applyAlignment="1" applyProtection="1">
      <alignment horizontal="center" wrapText="1"/>
    </xf>
    <xf numFmtId="44" fontId="4" fillId="0" borderId="4" xfId="3" applyFont="1" applyFill="1" applyBorder="1" applyAlignment="1" applyProtection="1">
      <alignment horizontal="center" vertical="center"/>
    </xf>
    <xf numFmtId="44" fontId="4" fillId="0" borderId="1" xfId="3" applyFont="1" applyFill="1" applyBorder="1" applyAlignment="1" applyProtection="1"/>
    <xf numFmtId="0" fontId="0" fillId="2" borderId="16" xfId="0" applyFill="1" applyBorder="1" applyAlignment="1" applyProtection="1">
      <alignment horizontal="center" vertical="center"/>
    </xf>
    <xf numFmtId="44" fontId="4" fillId="0" borderId="1" xfId="3" applyFont="1" applyFill="1" applyBorder="1" applyAlignment="1" applyProtection="1">
      <alignment horizontal="center" vertical="center"/>
    </xf>
    <xf numFmtId="44" fontId="4" fillId="0" borderId="1" xfId="3" applyFont="1" applyBorder="1" applyAlignment="1" applyProtection="1"/>
    <xf numFmtId="0" fontId="6" fillId="0" borderId="0" xfId="7" applyFont="1" applyBorder="1" applyAlignment="1" applyProtection="1">
      <alignment vertical="center"/>
    </xf>
    <xf numFmtId="0" fontId="6" fillId="0" borderId="0" xfId="7" applyFont="1" applyAlignment="1" applyProtection="1">
      <alignment vertical="center"/>
    </xf>
    <xf numFmtId="0" fontId="8" fillId="0" borderId="10" xfId="7" applyFill="1" applyBorder="1" applyAlignment="1" applyProtection="1"/>
    <xf numFmtId="0" fontId="8" fillId="0" borderId="0" xfId="7" applyFill="1" applyBorder="1" applyAlignment="1" applyProtection="1"/>
    <xf numFmtId="0" fontId="8" fillId="0" borderId="11" xfId="7" applyFill="1" applyBorder="1" applyAlignment="1" applyProtection="1"/>
    <xf numFmtId="0" fontId="8" fillId="0" borderId="0" xfId="7" applyBorder="1" applyProtection="1"/>
    <xf numFmtId="0" fontId="8" fillId="0" borderId="0" xfId="7" applyProtection="1"/>
    <xf numFmtId="0" fontId="3" fillId="0" borderId="10" xfId="7" applyFont="1" applyFill="1" applyBorder="1" applyAlignment="1" applyProtection="1">
      <alignment horizontal="center"/>
    </xf>
    <xf numFmtId="0" fontId="3" fillId="0" borderId="10" xfId="7" applyFont="1" applyBorder="1" applyAlignment="1" applyProtection="1">
      <alignment horizontal="center"/>
    </xf>
    <xf numFmtId="0" fontId="8" fillId="0" borderId="11" xfId="7" applyBorder="1" applyProtection="1"/>
    <xf numFmtId="0" fontId="8" fillId="0" borderId="0" xfId="7" applyFill="1" applyBorder="1" applyProtection="1"/>
    <xf numFmtId="0" fontId="2" fillId="0" borderId="0" xfId="7" applyFont="1" applyFill="1" applyBorder="1" applyAlignment="1" applyProtection="1">
      <alignment horizontal="right"/>
    </xf>
    <xf numFmtId="0" fontId="2" fillId="0" borderId="0" xfId="7" applyFont="1" applyFill="1" applyBorder="1" applyProtection="1"/>
    <xf numFmtId="0" fontId="3" fillId="0" borderId="10" xfId="7" applyFont="1" applyBorder="1" applyProtection="1"/>
    <xf numFmtId="0" fontId="8" fillId="0" borderId="0" xfId="7" applyFill="1" applyBorder="1" applyAlignment="1" applyProtection="1">
      <alignment horizontal="right"/>
    </xf>
    <xf numFmtId="0" fontId="8" fillId="0" borderId="11" xfId="7" applyFill="1" applyBorder="1" applyProtection="1"/>
    <xf numFmtId="0" fontId="8" fillId="0" borderId="0" xfId="7" applyFill="1" applyProtection="1"/>
    <xf numFmtId="0" fontId="3" fillId="0" borderId="18" xfId="7" applyFont="1" applyFill="1" applyBorder="1" applyAlignment="1" applyProtection="1">
      <alignment horizont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8" fillId="0" borderId="0" xfId="7"/>
    <xf numFmtId="0" fontId="0" fillId="0" borderId="0" xfId="0" applyAlignment="1">
      <alignment horizontal="center"/>
    </xf>
    <xf numFmtId="164" fontId="15" fillId="1" borderId="1" xfId="0" applyNumberFormat="1" applyFont="1" applyFill="1" applyBorder="1" applyAlignment="1" applyProtection="1"/>
    <xf numFmtId="49" fontId="8" fillId="0" borderId="0" xfId="0" applyNumberFormat="1" applyFont="1"/>
    <xf numFmtId="0" fontId="8" fillId="0" borderId="0" xfId="0" applyFont="1" applyBorder="1"/>
    <xf numFmtId="49" fontId="0" fillId="0" borderId="0" xfId="0" applyNumberFormat="1"/>
    <xf numFmtId="0" fontId="8" fillId="0" borderId="17" xfId="0" applyFont="1" applyBorder="1"/>
    <xf numFmtId="0" fontId="8" fillId="0" borderId="23" xfId="0" applyFont="1" applyBorder="1"/>
    <xf numFmtId="0" fontId="8" fillId="0" borderId="24" xfId="0" applyFont="1" applyBorder="1"/>
    <xf numFmtId="0" fontId="8" fillId="0" borderId="2" xfId="0" applyFont="1" applyBorder="1"/>
    <xf numFmtId="0" fontId="8" fillId="0" borderId="3" xfId="0" applyFont="1" applyBorder="1"/>
    <xf numFmtId="0" fontId="8" fillId="0" borderId="25" xfId="0" applyFont="1" applyBorder="1"/>
    <xf numFmtId="0" fontId="0" fillId="0" borderId="2" xfId="0" applyBorder="1"/>
    <xf numFmtId="0" fontId="0" fillId="0" borderId="3" xfId="0" applyBorder="1"/>
    <xf numFmtId="0" fontId="0" fillId="0" borderId="25" xfId="0" applyBorder="1"/>
    <xf numFmtId="0" fontId="0" fillId="0" borderId="8" xfId="0" applyBorder="1"/>
    <xf numFmtId="0" fontId="0" fillId="0" borderId="26" xfId="0" applyBorder="1"/>
    <xf numFmtId="0" fontId="19" fillId="0" borderId="0" xfId="0" applyFont="1" applyAlignment="1">
      <alignment horizontal="left" vertical="center" wrapText="1" indent="4"/>
    </xf>
    <xf numFmtId="0" fontId="19" fillId="0" borderId="0" xfId="0" applyFont="1"/>
    <xf numFmtId="49" fontId="8" fillId="0" borderId="17" xfId="0" applyNumberFormat="1" applyFont="1" applyBorder="1"/>
    <xf numFmtId="49" fontId="8" fillId="0" borderId="23" xfId="0" applyNumberFormat="1" applyFont="1" applyBorder="1"/>
    <xf numFmtId="49" fontId="8" fillId="0" borderId="2" xfId="0" applyNumberFormat="1" applyFont="1" applyBorder="1"/>
    <xf numFmtId="49" fontId="8" fillId="0" borderId="0" xfId="0" applyNumberFormat="1" applyFont="1" applyBorder="1"/>
    <xf numFmtId="49" fontId="8" fillId="0" borderId="3" xfId="0" applyNumberFormat="1" applyFont="1" applyBorder="1"/>
    <xf numFmtId="0" fontId="0" fillId="0" borderId="17" xfId="0" applyBorder="1"/>
    <xf numFmtId="0" fontId="0" fillId="0" borderId="23" xfId="0" applyBorder="1"/>
    <xf numFmtId="0" fontId="0" fillId="0" borderId="24" xfId="0" applyBorder="1"/>
    <xf numFmtId="0" fontId="18" fillId="7" borderId="0" xfId="6" applyAlignment="1">
      <alignment horizontal="center"/>
    </xf>
    <xf numFmtId="0" fontId="11" fillId="1" borderId="14" xfId="0" applyFont="1" applyFill="1" applyBorder="1" applyAlignment="1" applyProtection="1">
      <alignment horizontal="center" wrapText="1"/>
    </xf>
    <xf numFmtId="0" fontId="8" fillId="9" borderId="10" xfId="7" applyFill="1" applyBorder="1"/>
    <xf numFmtId="0" fontId="8" fillId="9" borderId="0" xfId="7" applyFill="1" applyBorder="1"/>
    <xf numFmtId="0" fontId="8" fillId="9" borderId="11" xfId="7" applyFill="1" applyBorder="1"/>
    <xf numFmtId="44" fontId="15" fillId="0" borderId="1" xfId="3" applyFont="1" applyFill="1" applyBorder="1" applyAlignment="1" applyProtection="1"/>
    <xf numFmtId="0" fontId="3" fillId="0" borderId="7" xfId="0" applyFont="1" applyFill="1" applyBorder="1" applyAlignment="1" applyProtection="1">
      <alignment horizontal="center"/>
    </xf>
    <xf numFmtId="0" fontId="6" fillId="4" borderId="45" xfId="7" applyFont="1" applyFill="1" applyBorder="1" applyAlignment="1">
      <alignment horizontal="center"/>
    </xf>
    <xf numFmtId="0" fontId="6" fillId="4" borderId="46" xfId="7" applyFont="1" applyFill="1" applyBorder="1" applyAlignment="1">
      <alignment horizontal="center"/>
    </xf>
    <xf numFmtId="44" fontId="7" fillId="0" borderId="15" xfId="3" applyFont="1" applyFill="1" applyBorder="1" applyAlignment="1" applyProtection="1"/>
    <xf numFmtId="0" fontId="6" fillId="9" borderId="0" xfId="0" applyFont="1" applyFill="1" applyBorder="1" applyAlignment="1" applyProtection="1">
      <alignment horizontal="center" vertical="center"/>
    </xf>
    <xf numFmtId="0" fontId="0" fillId="0" borderId="0" xfId="0" applyFill="1" applyBorder="1" applyProtection="1"/>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Border="1" applyProtection="1"/>
    <xf numFmtId="0" fontId="3" fillId="0" borderId="14" xfId="0" applyFont="1" applyFill="1" applyBorder="1" applyAlignment="1" applyProtection="1">
      <alignment horizontal="center" vertical="center"/>
    </xf>
    <xf numFmtId="0" fontId="11" fillId="0" borderId="5" xfId="0" applyFont="1" applyBorder="1" applyAlignment="1" applyProtection="1">
      <alignment wrapText="1"/>
    </xf>
    <xf numFmtId="0" fontId="15" fillId="0" borderId="0" xfId="0" applyFont="1" applyFill="1" applyBorder="1" applyProtection="1"/>
    <xf numFmtId="0" fontId="15" fillId="0" borderId="0" xfId="0" applyFont="1" applyBorder="1" applyProtection="1"/>
    <xf numFmtId="44" fontId="15" fillId="0" borderId="14" xfId="3" applyFont="1" applyFill="1" applyBorder="1" applyAlignment="1" applyProtection="1"/>
    <xf numFmtId="44" fontId="15" fillId="0" borderId="1" xfId="3" applyFont="1" applyFill="1" applyBorder="1" applyProtection="1"/>
    <xf numFmtId="44" fontId="15" fillId="0" borderId="14" xfId="3" applyFont="1" applyFill="1" applyBorder="1" applyProtection="1"/>
    <xf numFmtId="44" fontId="15" fillId="0" borderId="30" xfId="3" applyFont="1" applyFill="1" applyBorder="1" applyProtection="1"/>
    <xf numFmtId="0" fontId="15" fillId="0" borderId="43" xfId="0" applyFont="1" applyFill="1" applyBorder="1" applyProtection="1"/>
    <xf numFmtId="0" fontId="15" fillId="0" borderId="43" xfId="0" applyFont="1" applyBorder="1" applyProtection="1"/>
    <xf numFmtId="44" fontId="15" fillId="0" borderId="22" xfId="3" applyFont="1" applyFill="1" applyBorder="1" applyProtection="1"/>
    <xf numFmtId="167" fontId="15" fillId="0" borderId="5" xfId="2" applyNumberFormat="1" applyFont="1" applyFill="1" applyBorder="1" applyAlignment="1" applyProtection="1"/>
    <xf numFmtId="167" fontId="15" fillId="0" borderId="1" xfId="2" applyNumberFormat="1" applyFont="1" applyFill="1" applyBorder="1" applyProtection="1"/>
    <xf numFmtId="167" fontId="15" fillId="0" borderId="5" xfId="2" applyNumberFormat="1" applyFont="1" applyFill="1" applyBorder="1" applyProtection="1"/>
    <xf numFmtId="167" fontId="15" fillId="0" borderId="30" xfId="2" applyNumberFormat="1" applyFont="1" applyFill="1" applyBorder="1" applyProtection="1"/>
    <xf numFmtId="167" fontId="15" fillId="0" borderId="6" xfId="2" applyNumberFormat="1" applyFont="1" applyFill="1" applyBorder="1" applyProtection="1"/>
    <xf numFmtId="0" fontId="6" fillId="4" borderId="44" xfId="7" applyFont="1" applyFill="1" applyBorder="1" applyAlignment="1">
      <alignment horizontal="center"/>
    </xf>
    <xf numFmtId="0" fontId="6" fillId="4" borderId="1" xfId="7" applyFont="1" applyFill="1" applyBorder="1" applyAlignment="1">
      <alignment horizontal="center"/>
    </xf>
    <xf numFmtId="0" fontId="6" fillId="4" borderId="26" xfId="7" applyFont="1" applyFill="1" applyBorder="1" applyAlignment="1">
      <alignment horizontal="center"/>
    </xf>
    <xf numFmtId="0" fontId="6" fillId="4" borderId="18" xfId="7" applyFont="1" applyFill="1" applyBorder="1" applyAlignment="1">
      <alignment horizontal="center"/>
    </xf>
    <xf numFmtId="3" fontId="13" fillId="0" borderId="0" xfId="0" applyNumberFormat="1" applyFont="1" applyFill="1" applyBorder="1" applyAlignment="1" applyProtection="1"/>
    <xf numFmtId="0" fontId="1" fillId="0" borderId="0" xfId="0" applyFont="1" applyBorder="1" applyProtection="1"/>
    <xf numFmtId="0" fontId="1" fillId="0" borderId="11" xfId="0" applyFont="1" applyBorder="1" applyProtection="1"/>
    <xf numFmtId="0" fontId="17" fillId="6" borderId="0" xfId="5"/>
    <xf numFmtId="49" fontId="1" fillId="0" borderId="3" xfId="0" applyNumberFormat="1" applyFont="1" applyBorder="1"/>
    <xf numFmtId="49" fontId="1" fillId="0" borderId="2" xfId="0" applyNumberFormat="1" applyFont="1" applyBorder="1"/>
    <xf numFmtId="49" fontId="1" fillId="0" borderId="0" xfId="0" applyNumberFormat="1" applyFont="1" applyBorder="1"/>
    <xf numFmtId="0" fontId="1" fillId="0" borderId="23" xfId="0" applyFont="1" applyBorder="1"/>
    <xf numFmtId="164" fontId="15" fillId="1" borderId="1" xfId="0" applyNumberFormat="1" applyFont="1" applyFill="1" applyBorder="1" applyAlignment="1" applyProtection="1">
      <protection locked="0"/>
    </xf>
    <xf numFmtId="0" fontId="1" fillId="0" borderId="23" xfId="0" applyFont="1" applyFill="1" applyBorder="1"/>
    <xf numFmtId="0" fontId="1" fillId="0" borderId="47" xfId="0" applyFont="1" applyFill="1" applyBorder="1"/>
    <xf numFmtId="0" fontId="0" fillId="0" borderId="48" xfId="0" applyBorder="1"/>
    <xf numFmtId="0" fontId="0" fillId="0" borderId="42" xfId="0" applyBorder="1"/>
    <xf numFmtId="0" fontId="1" fillId="0" borderId="48" xfId="0" applyFont="1" applyFill="1" applyBorder="1"/>
    <xf numFmtId="0" fontId="17" fillId="6" borderId="1" xfId="5" applyBorder="1"/>
    <xf numFmtId="0" fontId="8" fillId="12" borderId="23" xfId="0" applyFont="1" applyFill="1" applyBorder="1"/>
    <xf numFmtId="0" fontId="8" fillId="12" borderId="0" xfId="0" applyFont="1" applyFill="1" applyBorder="1"/>
    <xf numFmtId="0" fontId="0" fillId="12" borderId="2" xfId="0" applyFill="1" applyBorder="1"/>
    <xf numFmtId="0" fontId="0" fillId="12" borderId="25" xfId="0" applyFill="1" applyBorder="1"/>
    <xf numFmtId="0" fontId="0" fillId="12" borderId="0" xfId="0" applyFill="1"/>
    <xf numFmtId="0" fontId="0" fillId="12" borderId="0" xfId="0" applyFill="1" applyBorder="1"/>
    <xf numFmtId="0" fontId="3" fillId="0" borderId="1" xfId="0" applyFont="1" applyBorder="1" applyAlignment="1" applyProtection="1">
      <alignment horizontal="left" vertical="center"/>
    </xf>
    <xf numFmtId="0" fontId="0" fillId="0" borderId="0" xfId="0" applyFill="1" applyBorder="1" applyAlignment="1" applyProtection="1">
      <alignment horizontal="center"/>
    </xf>
    <xf numFmtId="44" fontId="4" fillId="0" borderId="15" xfId="3" applyFont="1" applyFill="1" applyBorder="1" applyAlignment="1" applyProtection="1"/>
    <xf numFmtId="0" fontId="7" fillId="0" borderId="2" xfId="0" applyFont="1" applyFill="1" applyBorder="1" applyAlignment="1" applyProtection="1">
      <alignment horizontal="center"/>
    </xf>
    <xf numFmtId="0" fontId="6" fillId="0" borderId="3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1" xfId="0" applyFont="1" applyBorder="1" applyAlignment="1" applyProtection="1">
      <alignment horizontal="center" wrapText="1"/>
    </xf>
    <xf numFmtId="167" fontId="4" fillId="8" borderId="1" xfId="2" applyNumberFormat="1" applyFont="1" applyFill="1" applyBorder="1" applyAlignment="1" applyProtection="1">
      <protection locked="0"/>
    </xf>
    <xf numFmtId="44" fontId="4" fillId="0" borderId="14" xfId="3" applyFont="1" applyFill="1" applyBorder="1" applyAlignment="1" applyProtection="1"/>
    <xf numFmtId="0" fontId="1" fillId="0" borderId="0" xfId="0" applyFont="1" applyFill="1" applyBorder="1" applyProtection="1"/>
    <xf numFmtId="0" fontId="1" fillId="0" borderId="5"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5" xfId="0" applyFont="1" applyBorder="1" applyAlignment="1" applyProtection="1">
      <alignment wrapText="1"/>
    </xf>
    <xf numFmtId="0" fontId="1" fillId="0" borderId="1"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14" xfId="0" applyFont="1" applyBorder="1" applyAlignment="1" applyProtection="1">
      <alignment horizontal="center" wrapText="1"/>
    </xf>
    <xf numFmtId="3" fontId="6" fillId="0" borderId="5" xfId="0" applyNumberFormat="1" applyFont="1" applyBorder="1" applyAlignment="1" applyProtection="1"/>
    <xf numFmtId="44" fontId="1" fillId="0" borderId="14" xfId="3" applyFont="1" applyFill="1" applyBorder="1" applyAlignment="1" applyProtection="1"/>
    <xf numFmtId="44" fontId="1" fillId="0" borderId="14" xfId="3" applyFont="1" applyFill="1" applyBorder="1" applyProtection="1"/>
    <xf numFmtId="3" fontId="6" fillId="0" borderId="6" xfId="0" applyNumberFormat="1" applyFont="1" applyBorder="1" applyAlignment="1" applyProtection="1"/>
    <xf numFmtId="44" fontId="1" fillId="0" borderId="22" xfId="3" applyFont="1" applyFill="1" applyBorder="1" applyProtection="1"/>
    <xf numFmtId="169" fontId="1" fillId="0" borderId="22" xfId="3" applyNumberFormat="1" applyFont="1" applyFill="1" applyBorder="1" applyProtection="1"/>
    <xf numFmtId="0" fontId="7" fillId="11" borderId="17" xfId="0" applyFont="1" applyFill="1" applyBorder="1" applyAlignment="1" applyProtection="1">
      <alignment horizontal="center"/>
    </xf>
    <xf numFmtId="0" fontId="7" fillId="11" borderId="2" xfId="0" applyFont="1" applyFill="1" applyBorder="1" applyAlignment="1" applyProtection="1">
      <alignment horizontal="center"/>
    </xf>
    <xf numFmtId="0" fontId="7" fillId="2" borderId="2" xfId="0" applyFont="1" applyFill="1" applyBorder="1" applyAlignment="1" applyProtection="1">
      <alignment horizontal="center" vertical="center"/>
    </xf>
    <xf numFmtId="0" fontId="7" fillId="4" borderId="4" xfId="0" applyFont="1" applyFill="1" applyBorder="1" applyAlignment="1" applyProtection="1">
      <alignment horizontal="center"/>
    </xf>
    <xf numFmtId="0" fontId="4" fillId="4" borderId="0" xfId="7" applyFont="1" applyFill="1" applyBorder="1" applyAlignment="1" applyProtection="1">
      <alignment horizontal="right"/>
    </xf>
    <xf numFmtId="0" fontId="7" fillId="0" borderId="10" xfId="7" applyFont="1" applyFill="1" applyBorder="1" applyAlignment="1" applyProtection="1">
      <alignment horizontal="center"/>
    </xf>
    <xf numFmtId="0" fontId="7" fillId="0" borderId="10" xfId="7" applyFont="1" applyBorder="1" applyAlignment="1" applyProtection="1">
      <alignment horizontal="center"/>
    </xf>
    <xf numFmtId="0" fontId="7" fillId="4" borderId="18" xfId="7" applyFont="1" applyFill="1" applyBorder="1" applyAlignment="1" applyProtection="1">
      <alignment horizontal="center"/>
    </xf>
    <xf numFmtId="0" fontId="7" fillId="0" borderId="1" xfId="0" applyFont="1" applyBorder="1" applyAlignment="1" applyProtection="1">
      <alignment horizontal="center"/>
    </xf>
    <xf numFmtId="0" fontId="7" fillId="0" borderId="5" xfId="0" applyFont="1" applyBorder="1" applyAlignment="1" applyProtection="1">
      <alignment horizontal="center" vertical="center"/>
    </xf>
    <xf numFmtId="0" fontId="7" fillId="0" borderId="12"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7" fillId="0" borderId="13" xfId="0" applyFont="1" applyBorder="1" applyAlignment="1" applyProtection="1">
      <alignment horizontal="center" vertical="center"/>
    </xf>
    <xf numFmtId="166" fontId="4" fillId="3" borderId="1" xfId="3" applyNumberFormat="1" applyFont="1" applyFill="1" applyBorder="1" applyAlignment="1" applyProtection="1">
      <protection locked="0"/>
    </xf>
    <xf numFmtId="166" fontId="4" fillId="8" borderId="1" xfId="3" applyNumberFormat="1" applyFont="1" applyFill="1" applyBorder="1" applyAlignment="1" applyProtection="1">
      <protection locked="0"/>
    </xf>
    <xf numFmtId="167" fontId="4" fillId="0" borderId="1" xfId="2" applyNumberFormat="1" applyFont="1" applyFill="1" applyBorder="1" applyAlignment="1" applyProtection="1"/>
    <xf numFmtId="167" fontId="4" fillId="0" borderId="1" xfId="2" applyNumberFormat="1" applyFont="1" applyBorder="1" applyAlignment="1" applyProtection="1"/>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0" xfId="0" applyFont="1" applyBorder="1" applyAlignment="1" applyProtection="1">
      <alignment horizontal="center" vertical="center"/>
    </xf>
    <xf numFmtId="0" fontId="7" fillId="0" borderId="10" xfId="0" applyFont="1" applyFill="1" applyBorder="1" applyAlignment="1" applyProtection="1">
      <alignment horizontal="center"/>
    </xf>
    <xf numFmtId="0" fontId="7" fillId="0" borderId="10" xfId="0" applyFont="1" applyBorder="1" applyAlignment="1" applyProtection="1">
      <alignment horizontal="center"/>
    </xf>
    <xf numFmtId="44" fontId="4" fillId="0" borderId="14" xfId="3" applyFont="1" applyBorder="1" applyAlignment="1" applyProtection="1">
      <alignment horizontal="right" vertical="center"/>
    </xf>
    <xf numFmtId="44" fontId="4" fillId="0" borderId="22" xfId="3" applyFont="1" applyBorder="1" applyAlignment="1" applyProtection="1">
      <alignment horizontal="right" vertical="center"/>
    </xf>
    <xf numFmtId="0" fontId="7" fillId="0" borderId="14" xfId="0" applyFont="1" applyFill="1" applyBorder="1" applyAlignment="1" applyProtection="1">
      <alignment horizontal="center"/>
    </xf>
    <xf numFmtId="0" fontId="7" fillId="0" borderId="15" xfId="0" applyFont="1" applyFill="1" applyBorder="1" applyAlignment="1" applyProtection="1">
      <alignment horizontal="center" vertical="center"/>
    </xf>
    <xf numFmtId="0" fontId="4" fillId="1" borderId="1" xfId="0" applyFont="1" applyFill="1" applyBorder="1" applyAlignment="1" applyProtection="1">
      <alignment horizontal="center" wrapText="1"/>
    </xf>
    <xf numFmtId="44" fontId="4" fillId="0" borderId="14" xfId="3" applyFont="1" applyFill="1" applyBorder="1" applyAlignment="1" applyProtection="1">
      <alignment horizontal="right" vertical="center"/>
    </xf>
    <xf numFmtId="0" fontId="7" fillId="0" borderId="14" xfId="0" applyFont="1" applyBorder="1" applyAlignment="1" applyProtection="1">
      <alignment horizontal="center" wrapText="1"/>
    </xf>
    <xf numFmtId="44" fontId="4" fillId="8" borderId="1" xfId="3" applyFont="1" applyFill="1" applyBorder="1" applyAlignment="1" applyProtection="1">
      <protection locked="0"/>
    </xf>
    <xf numFmtId="44" fontId="15" fillId="1" borderId="1" xfId="3" applyFont="1" applyFill="1" applyBorder="1" applyAlignment="1" applyProtection="1"/>
    <xf numFmtId="44" fontId="4" fillId="0" borderId="14" xfId="3" applyFont="1" applyBorder="1" applyAlignment="1" applyProtection="1">
      <alignment horizontal="center" vertical="center"/>
    </xf>
    <xf numFmtId="44" fontId="4" fillId="0" borderId="22" xfId="3" applyFont="1" applyBorder="1" applyAlignment="1" applyProtection="1">
      <alignment horizontal="center" vertical="center"/>
    </xf>
    <xf numFmtId="0" fontId="4" fillId="1" borderId="1" xfId="0" applyFont="1" applyFill="1" applyBorder="1" applyAlignment="1" applyProtection="1">
      <alignment horizontal="center" vertical="center" wrapText="1"/>
    </xf>
    <xf numFmtId="0" fontId="4" fillId="1" borderId="14" xfId="0" applyFont="1" applyFill="1" applyBorder="1" applyAlignment="1" applyProtection="1">
      <alignment horizontal="center" vertical="center" wrapText="1"/>
    </xf>
    <xf numFmtId="44" fontId="4" fillId="0" borderId="1" xfId="3" applyFont="1" applyFill="1" applyBorder="1" applyAlignment="1" applyProtection="1">
      <alignment horizontal="center" vertical="center" wrapText="1"/>
    </xf>
    <xf numFmtId="0" fontId="15" fillId="1" borderId="1" xfId="0" applyFont="1" applyFill="1" applyBorder="1" applyAlignment="1" applyProtection="1">
      <alignment horizontal="center" vertical="center" wrapText="1"/>
    </xf>
    <xf numFmtId="44" fontId="4" fillId="0" borderId="1" xfId="3" applyFont="1" applyFill="1" applyBorder="1" applyAlignment="1" applyProtection="1">
      <alignment vertical="center"/>
    </xf>
    <xf numFmtId="0" fontId="11" fillId="1" borderId="14" xfId="0" applyFont="1" applyFill="1" applyBorder="1" applyAlignment="1" applyProtection="1">
      <alignment horizontal="center" vertical="center" wrapText="1"/>
    </xf>
    <xf numFmtId="167" fontId="4" fillId="0" borderId="1" xfId="2" applyNumberFormat="1" applyFont="1" applyFill="1" applyBorder="1" applyAlignment="1" applyProtection="1">
      <alignment vertical="center"/>
    </xf>
    <xf numFmtId="164" fontId="15" fillId="1" borderId="7" xfId="0" applyNumberFormat="1" applyFont="1" applyFill="1" applyBorder="1" applyAlignment="1" applyProtection="1">
      <alignment vertical="center"/>
    </xf>
    <xf numFmtId="164" fontId="15" fillId="1" borderId="1" xfId="0" applyNumberFormat="1" applyFont="1" applyFill="1" applyBorder="1" applyAlignment="1" applyProtection="1">
      <alignment vertical="center"/>
    </xf>
    <xf numFmtId="44" fontId="4" fillId="0" borderId="1" xfId="3" applyFont="1" applyBorder="1" applyAlignment="1" applyProtection="1">
      <alignment vertical="center"/>
    </xf>
    <xf numFmtId="167" fontId="4" fillId="0" borderId="1" xfId="2" applyNumberFormat="1" applyFont="1" applyBorder="1" applyAlignment="1" applyProtection="1">
      <alignment vertical="center"/>
    </xf>
    <xf numFmtId="44" fontId="4" fillId="0" borderId="7" xfId="3" applyFont="1" applyFill="1" applyBorder="1" applyAlignment="1" applyProtection="1">
      <alignment horizontal="center" vertical="center"/>
    </xf>
    <xf numFmtId="0" fontId="7" fillId="9" borderId="5" xfId="7" applyFont="1" applyFill="1" applyBorder="1" applyAlignment="1">
      <alignment horizontal="center" vertical="center"/>
    </xf>
    <xf numFmtId="0" fontId="7" fillId="9" borderId="14" xfId="7" applyFont="1" applyFill="1" applyBorder="1" applyAlignment="1">
      <alignment horizontal="center" vertical="center"/>
    </xf>
    <xf numFmtId="0" fontId="7" fillId="9" borderId="4" xfId="7" applyFont="1" applyFill="1" applyBorder="1" applyAlignment="1">
      <alignment horizontal="center" vertical="center"/>
    </xf>
    <xf numFmtId="0" fontId="7" fillId="9" borderId="27" xfId="7" applyFont="1" applyFill="1" applyBorder="1" applyAlignment="1">
      <alignment horizontal="center" vertical="center"/>
    </xf>
    <xf numFmtId="0" fontId="7" fillId="9" borderId="15" xfId="7" applyFont="1" applyFill="1" applyBorder="1" applyAlignment="1">
      <alignment horizontal="center" vertical="center"/>
    </xf>
    <xf numFmtId="0" fontId="7" fillId="9" borderId="54" xfId="7" applyFont="1" applyFill="1" applyBorder="1" applyAlignment="1">
      <alignment horizontal="center" vertical="center"/>
    </xf>
    <xf numFmtId="0" fontId="6" fillId="4" borderId="54" xfId="7" applyFont="1" applyFill="1" applyBorder="1" applyAlignment="1">
      <alignment horizontal="center"/>
    </xf>
    <xf numFmtId="44" fontId="7" fillId="0" borderId="1" xfId="3" applyFont="1" applyFill="1" applyBorder="1" applyAlignment="1" applyProtection="1"/>
    <xf numFmtId="44" fontId="4" fillId="14" borderId="1" xfId="3" applyFont="1" applyFill="1" applyBorder="1" applyAlignment="1" applyProtection="1"/>
    <xf numFmtId="44" fontId="7" fillId="0" borderId="14" xfId="3" applyFont="1" applyFill="1" applyBorder="1" applyAlignment="1" applyProtection="1"/>
    <xf numFmtId="0" fontId="4" fillId="0" borderId="7" xfId="0" applyFont="1" applyFill="1" applyBorder="1" applyAlignment="1" applyProtection="1">
      <alignment horizontal="right"/>
    </xf>
    <xf numFmtId="0" fontId="7" fillId="0" borderId="7" xfId="0" applyFont="1" applyFill="1" applyBorder="1" applyAlignment="1" applyProtection="1">
      <alignment horizontal="right"/>
    </xf>
    <xf numFmtId="44" fontId="4" fillId="0" borderId="42" xfId="3" applyFont="1" applyFill="1" applyBorder="1" applyAlignment="1" applyProtection="1"/>
    <xf numFmtId="0" fontId="4" fillId="0" borderId="44" xfId="0" applyFont="1" applyFill="1" applyBorder="1" applyAlignment="1" applyProtection="1">
      <alignment horizontal="right"/>
    </xf>
    <xf numFmtId="44" fontId="4" fillId="0" borderId="26" xfId="3" applyFont="1" applyFill="1" applyBorder="1" applyAlignment="1" applyProtection="1"/>
    <xf numFmtId="44" fontId="4" fillId="14" borderId="42" xfId="3" applyFont="1" applyFill="1" applyBorder="1" applyAlignment="1" applyProtection="1"/>
    <xf numFmtId="44" fontId="4" fillId="0" borderId="45" xfId="3" applyFont="1" applyFill="1" applyBorder="1" applyAlignment="1" applyProtection="1"/>
    <xf numFmtId="0" fontId="9" fillId="0" borderId="30" xfId="0" applyFont="1" applyFill="1" applyBorder="1" applyAlignment="1" applyProtection="1"/>
    <xf numFmtId="0" fontId="7" fillId="0" borderId="34" xfId="0" applyFont="1" applyFill="1" applyBorder="1" applyAlignment="1" applyProtection="1">
      <alignment horizontal="center"/>
    </xf>
    <xf numFmtId="0" fontId="6" fillId="0" borderId="38"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44" fontId="4" fillId="0" borderId="15" xfId="3" applyFont="1" applyBorder="1" applyAlignment="1" applyProtection="1">
      <alignment horizontal="center" vertical="center"/>
    </xf>
    <xf numFmtId="44" fontId="4" fillId="0" borderId="16" xfId="3" applyFont="1" applyBorder="1" applyAlignment="1" applyProtection="1">
      <alignment horizontal="center" vertical="center"/>
    </xf>
    <xf numFmtId="44" fontId="4" fillId="0" borderId="16" xfId="3"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42" xfId="0" applyFont="1" applyFill="1" applyBorder="1" applyAlignment="1" applyProtection="1">
      <alignment horizontal="center"/>
    </xf>
    <xf numFmtId="44" fontId="4" fillId="0" borderId="15" xfId="3" applyFont="1" applyBorder="1" applyAlignment="1" applyProtection="1">
      <alignment vertical="center"/>
    </xf>
    <xf numFmtId="0" fontId="3" fillId="0" borderId="48" xfId="0" applyFont="1" applyFill="1" applyBorder="1" applyAlignment="1" applyProtection="1">
      <alignment horizontal="center"/>
    </xf>
    <xf numFmtId="44" fontId="4" fillId="0" borderId="48" xfId="3" applyFont="1" applyFill="1" applyBorder="1" applyAlignment="1" applyProtection="1"/>
    <xf numFmtId="44" fontId="7" fillId="0" borderId="26" xfId="3" applyFont="1" applyFill="1" applyBorder="1" applyAlignment="1" applyProtection="1"/>
    <xf numFmtId="44" fontId="4" fillId="0" borderId="24" xfId="3" applyFont="1" applyBorder="1" applyAlignment="1" applyProtection="1"/>
    <xf numFmtId="167" fontId="4" fillId="0" borderId="3" xfId="2" applyNumberFormat="1" applyFont="1" applyFill="1" applyBorder="1" applyAlignment="1" applyProtection="1">
      <alignment vertical="center"/>
    </xf>
    <xf numFmtId="9" fontId="4" fillId="0" borderId="26" xfId="8" applyFont="1" applyFill="1" applyBorder="1" applyAlignment="1" applyProtection="1">
      <alignment vertical="center"/>
    </xf>
    <xf numFmtId="44" fontId="4" fillId="0" borderId="24" xfId="3" applyFont="1" applyFill="1" applyBorder="1" applyAlignment="1" applyProtection="1"/>
    <xf numFmtId="167" fontId="4" fillId="0" borderId="3" xfId="3" applyNumberFormat="1" applyFont="1" applyFill="1" applyBorder="1" applyAlignment="1" applyProtection="1"/>
    <xf numFmtId="167" fontId="4" fillId="0" borderId="3" xfId="2" applyNumberFormat="1" applyFont="1" applyFill="1" applyBorder="1" applyAlignment="1" applyProtection="1"/>
    <xf numFmtId="9" fontId="4" fillId="0" borderId="1" xfId="8" applyFont="1" applyFill="1" applyBorder="1" applyAlignment="1" applyProtection="1">
      <alignment vertical="center"/>
    </xf>
    <xf numFmtId="167" fontId="4" fillId="0" borderId="1" xfId="3" applyNumberFormat="1" applyFont="1" applyFill="1" applyBorder="1" applyAlignment="1" applyProtection="1"/>
    <xf numFmtId="0" fontId="12" fillId="2" borderId="15" xfId="0" applyFont="1" applyFill="1" applyBorder="1" applyAlignment="1" applyProtection="1">
      <alignment vertical="center"/>
    </xf>
    <xf numFmtId="0" fontId="12" fillId="4" borderId="15" xfId="0" applyFont="1" applyFill="1" applyBorder="1" applyAlignment="1" applyProtection="1"/>
    <xf numFmtId="44" fontId="4" fillId="9" borderId="1" xfId="3" applyFont="1" applyFill="1" applyBorder="1" applyAlignment="1" applyProtection="1">
      <alignment vertical="center"/>
      <protection locked="0"/>
    </xf>
    <xf numFmtId="44" fontId="4" fillId="9" borderId="1" xfId="3" applyFont="1" applyFill="1" applyBorder="1" applyAlignment="1" applyProtection="1">
      <protection locked="0"/>
    </xf>
    <xf numFmtId="166" fontId="4" fillId="9" borderId="1" xfId="3" applyNumberFormat="1" applyFont="1" applyFill="1" applyBorder="1" applyAlignment="1" applyProtection="1">
      <alignment vertical="center"/>
      <protection locked="0"/>
    </xf>
    <xf numFmtId="0" fontId="4" fillId="0" borderId="23"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4" fillId="0" borderId="3" xfId="0" applyFont="1" applyFill="1" applyBorder="1" applyAlignment="1" applyProtection="1">
      <alignment vertical="center" wrapText="1"/>
    </xf>
    <xf numFmtId="167" fontId="1" fillId="9" borderId="5" xfId="2" applyNumberFormat="1" applyFont="1" applyFill="1" applyBorder="1" applyAlignment="1" applyProtection="1"/>
    <xf numFmtId="44" fontId="1" fillId="0" borderId="58" xfId="3" applyFont="1" applyFill="1" applyBorder="1" applyProtection="1"/>
    <xf numFmtId="167" fontId="1" fillId="9" borderId="6" xfId="2" applyNumberFormat="1" applyFont="1" applyFill="1" applyBorder="1" applyAlignment="1" applyProtection="1"/>
    <xf numFmtId="0" fontId="3" fillId="16" borderId="18" xfId="7" applyFont="1" applyFill="1" applyBorder="1" applyAlignment="1" applyProtection="1">
      <alignment horizontal="center"/>
    </xf>
    <xf numFmtId="44" fontId="4" fillId="16" borderId="1" xfId="3" applyFont="1" applyFill="1" applyBorder="1" applyAlignment="1" applyProtection="1">
      <protection locked="0"/>
    </xf>
    <xf numFmtId="167" fontId="4" fillId="16" borderId="1" xfId="2" applyNumberFormat="1" applyFont="1" applyFill="1" applyBorder="1" applyAlignment="1" applyProtection="1">
      <protection locked="0"/>
    </xf>
    <xf numFmtId="44" fontId="4" fillId="16" borderId="14" xfId="3" applyFont="1" applyFill="1" applyBorder="1" applyAlignment="1" applyProtection="1">
      <alignment vertical="center"/>
      <protection locked="0"/>
    </xf>
    <xf numFmtId="44" fontId="4" fillId="16" borderId="1" xfId="3" applyFont="1" applyFill="1" applyBorder="1" applyAlignment="1" applyProtection="1">
      <alignment vertical="center"/>
      <protection locked="0"/>
    </xf>
    <xf numFmtId="167" fontId="4" fillId="16" borderId="1" xfId="2" applyNumberFormat="1" applyFont="1" applyFill="1" applyBorder="1" applyAlignment="1" applyProtection="1">
      <alignment vertical="center"/>
      <protection locked="0"/>
    </xf>
    <xf numFmtId="44" fontId="4" fillId="16" borderId="1" xfId="3" applyFont="1" applyFill="1" applyBorder="1" applyAlignment="1" applyProtection="1">
      <alignment horizontal="center" vertical="center"/>
      <protection locked="0"/>
    </xf>
    <xf numFmtId="44" fontId="4" fillId="16" borderId="14" xfId="3" applyFont="1" applyFill="1" applyBorder="1" applyAlignment="1" applyProtection="1">
      <alignment horizontal="center" vertical="center"/>
      <protection locked="0"/>
    </xf>
    <xf numFmtId="167" fontId="1" fillId="16" borderId="1" xfId="2" applyNumberFormat="1" applyFont="1" applyFill="1" applyBorder="1" applyAlignment="1" applyProtection="1">
      <protection locked="0"/>
    </xf>
    <xf numFmtId="167" fontId="1" fillId="16" borderId="1" xfId="2" applyNumberFormat="1" applyFont="1" applyFill="1" applyBorder="1" applyProtection="1">
      <protection locked="0"/>
    </xf>
    <xf numFmtId="167" fontId="1" fillId="16" borderId="30" xfId="2" applyNumberFormat="1" applyFont="1" applyFill="1" applyBorder="1" applyProtection="1">
      <protection locked="0"/>
    </xf>
    <xf numFmtId="167" fontId="1" fillId="16" borderId="5" xfId="2" applyNumberFormat="1" applyFont="1" applyFill="1" applyBorder="1" applyAlignment="1" applyProtection="1">
      <protection locked="0"/>
    </xf>
    <xf numFmtId="167" fontId="1" fillId="16" borderId="5" xfId="2" applyNumberFormat="1" applyFont="1" applyFill="1" applyBorder="1" applyProtection="1">
      <protection locked="0"/>
    </xf>
    <xf numFmtId="167" fontId="1" fillId="16" borderId="6" xfId="2" applyNumberFormat="1" applyFont="1" applyFill="1" applyBorder="1" applyProtection="1">
      <protection locked="0"/>
    </xf>
    <xf numFmtId="0" fontId="8" fillId="16" borderId="5" xfId="7" applyFill="1" applyBorder="1" applyAlignment="1" applyProtection="1">
      <alignment horizontal="left"/>
      <protection locked="0"/>
    </xf>
    <xf numFmtId="165" fontId="4" fillId="16" borderId="14" xfId="7" applyNumberFormat="1" applyFont="1" applyFill="1" applyBorder="1" applyAlignment="1" applyProtection="1">
      <alignment horizontal="left" wrapText="1"/>
      <protection locked="0"/>
    </xf>
    <xf numFmtId="44" fontId="4" fillId="16" borderId="18" xfId="4" applyFont="1" applyFill="1" applyBorder="1" applyAlignment="1" applyProtection="1">
      <alignment horizontal="left"/>
      <protection locked="0"/>
    </xf>
    <xf numFmtId="0" fontId="4" fillId="16" borderId="54" xfId="7" applyFont="1" applyFill="1" applyBorder="1" applyAlignment="1" applyProtection="1">
      <alignment horizontal="left" wrapText="1"/>
      <protection locked="0"/>
    </xf>
    <xf numFmtId="49" fontId="4" fillId="16" borderId="16" xfId="4" applyNumberFormat="1" applyFont="1" applyFill="1" applyBorder="1" applyAlignment="1" applyProtection="1">
      <alignment horizontal="left"/>
      <protection locked="0"/>
    </xf>
    <xf numFmtId="49" fontId="4" fillId="16" borderId="14" xfId="4" applyNumberFormat="1" applyFont="1" applyFill="1" applyBorder="1" applyAlignment="1" applyProtection="1">
      <alignment horizontal="left" wrapText="1"/>
      <protection locked="0"/>
    </xf>
    <xf numFmtId="44" fontId="4" fillId="16" borderId="27" xfId="3" applyFont="1" applyFill="1" applyBorder="1" applyAlignment="1" applyProtection="1">
      <alignment horizontal="left"/>
      <protection locked="0"/>
    </xf>
    <xf numFmtId="0" fontId="8" fillId="16" borderId="6" xfId="7" applyFill="1" applyBorder="1" applyAlignment="1" applyProtection="1">
      <alignment horizontal="left"/>
      <protection locked="0"/>
    </xf>
    <xf numFmtId="165" fontId="4" fillId="16" borderId="22" xfId="7" applyNumberFormat="1" applyFont="1" applyFill="1" applyBorder="1" applyAlignment="1" applyProtection="1">
      <alignment horizontal="left" wrapText="1"/>
      <protection locked="0"/>
    </xf>
    <xf numFmtId="44" fontId="4" fillId="16" borderId="21" xfId="4" applyFont="1" applyFill="1" applyBorder="1" applyAlignment="1" applyProtection="1">
      <alignment horizontal="left"/>
      <protection locked="0"/>
    </xf>
    <xf numFmtId="0" fontId="4" fillId="16" borderId="55" xfId="7" applyFont="1" applyFill="1" applyBorder="1" applyAlignment="1" applyProtection="1">
      <alignment horizontal="left" wrapText="1"/>
      <protection locked="0"/>
    </xf>
    <xf numFmtId="44" fontId="4" fillId="16" borderId="28" xfId="3" applyFont="1" applyFill="1" applyBorder="1" applyAlignment="1" applyProtection="1">
      <alignment horizontal="left"/>
      <protection locked="0"/>
    </xf>
    <xf numFmtId="44" fontId="4" fillId="0" borderId="1" xfId="3" applyFont="1" applyFill="1" applyBorder="1" applyAlignment="1" applyProtection="1">
      <alignment vertical="center"/>
    </xf>
    <xf numFmtId="44" fontId="4" fillId="0" borderId="1" xfId="3" applyFont="1" applyFill="1" applyBorder="1" applyAlignment="1" applyProtection="1">
      <alignment horizontal="center" vertical="center"/>
    </xf>
    <xf numFmtId="165" fontId="4" fillId="16" borderId="1" xfId="7" applyNumberFormat="1" applyFont="1" applyFill="1" applyBorder="1" applyAlignment="1" applyProtection="1">
      <alignment horizontal="left"/>
    </xf>
    <xf numFmtId="44" fontId="4" fillId="0" borderId="1" xfId="3" applyFont="1" applyFill="1" applyBorder="1" applyAlignment="1" applyProtection="1">
      <alignment vertical="center"/>
    </xf>
    <xf numFmtId="0" fontId="1" fillId="0" borderId="0" xfId="0" applyFont="1" applyFill="1" applyBorder="1"/>
    <xf numFmtId="0" fontId="23" fillId="2" borderId="29" xfId="7" applyFont="1" applyFill="1" applyBorder="1" applyAlignment="1" applyProtection="1">
      <alignment horizontal="center" vertical="center"/>
    </xf>
    <xf numFmtId="0" fontId="23" fillId="2" borderId="31" xfId="7" applyFont="1" applyFill="1" applyBorder="1" applyAlignment="1" applyProtection="1">
      <alignment horizontal="center" vertical="center"/>
    </xf>
    <xf numFmtId="0" fontId="23" fillId="2" borderId="32" xfId="7" applyFont="1" applyFill="1" applyBorder="1" applyAlignment="1" applyProtection="1">
      <alignment horizontal="center" vertical="center"/>
    </xf>
    <xf numFmtId="0" fontId="24" fillId="2" borderId="10" xfId="7" applyFont="1" applyFill="1" applyBorder="1" applyAlignment="1" applyProtection="1">
      <alignment horizontal="center" vertical="center"/>
    </xf>
    <xf numFmtId="0" fontId="24" fillId="2" borderId="0" xfId="7" applyFont="1" applyFill="1" applyBorder="1" applyAlignment="1" applyProtection="1">
      <alignment horizontal="center" vertical="center"/>
    </xf>
    <xf numFmtId="0" fontId="24" fillId="2" borderId="11" xfId="7" applyFont="1" applyFill="1" applyBorder="1" applyAlignment="1" applyProtection="1">
      <alignment horizontal="center" vertical="center"/>
    </xf>
    <xf numFmtId="0" fontId="7" fillId="16" borderId="4" xfId="7" applyFont="1" applyFill="1" applyBorder="1" applyAlignment="1" applyProtection="1">
      <alignment horizontal="left"/>
      <protection locked="0"/>
    </xf>
    <xf numFmtId="0" fontId="7" fillId="16" borderId="15" xfId="7" applyFont="1" applyFill="1" applyBorder="1" applyAlignment="1" applyProtection="1">
      <alignment horizontal="left"/>
      <protection locked="0"/>
    </xf>
    <xf numFmtId="0" fontId="4" fillId="16" borderId="4" xfId="7" applyFont="1" applyFill="1" applyBorder="1" applyAlignment="1" applyProtection="1">
      <alignment horizontal="left"/>
      <protection locked="0"/>
    </xf>
    <xf numFmtId="0" fontId="4" fillId="16" borderId="15" xfId="7" applyFont="1" applyFill="1" applyBorder="1" applyAlignment="1" applyProtection="1">
      <alignment horizontal="left"/>
      <protection locked="0"/>
    </xf>
    <xf numFmtId="0" fontId="6" fillId="4" borderId="16" xfId="7" applyFont="1" applyFill="1" applyBorder="1" applyAlignment="1" applyProtection="1">
      <alignment horizontal="center"/>
    </xf>
    <xf numFmtId="0" fontId="6" fillId="4" borderId="7" xfId="7" applyFont="1" applyFill="1" applyBorder="1" applyAlignment="1" applyProtection="1">
      <alignment horizontal="center"/>
    </xf>
    <xf numFmtId="0" fontId="4" fillId="0" borderId="16" xfId="7" applyFont="1" applyFill="1" applyBorder="1" applyAlignment="1" applyProtection="1">
      <alignment horizontal="left"/>
    </xf>
    <xf numFmtId="0" fontId="4" fillId="0" borderId="7" xfId="7" applyFont="1" applyFill="1" applyBorder="1" applyAlignment="1" applyProtection="1">
      <alignment horizontal="left"/>
    </xf>
    <xf numFmtId="0" fontId="4" fillId="16" borderId="16" xfId="7" applyFont="1" applyFill="1" applyBorder="1" applyAlignment="1" applyProtection="1">
      <alignment horizontal="left"/>
      <protection locked="0"/>
    </xf>
    <xf numFmtId="0" fontId="4" fillId="16" borderId="7" xfId="7" applyFont="1" applyFill="1" applyBorder="1" applyAlignment="1" applyProtection="1">
      <alignment horizontal="left"/>
      <protection locked="0"/>
    </xf>
    <xf numFmtId="0" fontId="0" fillId="2" borderId="21" xfId="0" applyFill="1" applyBorder="1" applyAlignment="1" applyProtection="1">
      <alignment horizontal="center"/>
    </xf>
    <xf numFmtId="0" fontId="0" fillId="2" borderId="33" xfId="0" applyFill="1" applyBorder="1" applyAlignment="1" applyProtection="1">
      <alignment horizontal="center"/>
    </xf>
    <xf numFmtId="0" fontId="0" fillId="2" borderId="34" xfId="0" applyFill="1" applyBorder="1" applyAlignment="1" applyProtection="1">
      <alignment horizontal="center"/>
    </xf>
    <xf numFmtId="167" fontId="4" fillId="3" borderId="4" xfId="2" applyNumberFormat="1" applyFont="1" applyFill="1" applyBorder="1" applyAlignment="1" applyProtection="1">
      <protection locked="0"/>
    </xf>
    <xf numFmtId="167" fontId="4" fillId="3" borderId="15" xfId="2" applyNumberFormat="1" applyFont="1" applyFill="1" applyBorder="1" applyAlignment="1" applyProtection="1">
      <protection locked="0"/>
    </xf>
    <xf numFmtId="167" fontId="4" fillId="16" borderId="4" xfId="2" applyNumberFormat="1" applyFont="1" applyFill="1" applyBorder="1" applyAlignment="1" applyProtection="1">
      <protection locked="0"/>
    </xf>
    <xf numFmtId="167" fontId="4" fillId="16" borderId="15" xfId="2" applyNumberFormat="1" applyFont="1" applyFill="1" applyBorder="1" applyAlignment="1" applyProtection="1">
      <protection locked="0"/>
    </xf>
    <xf numFmtId="0" fontId="4" fillId="16" borderId="18" xfId="0" applyFont="1" applyFill="1" applyBorder="1" applyAlignment="1" applyProtection="1">
      <alignment horizontal="left"/>
      <protection locked="0"/>
    </xf>
    <xf numFmtId="0" fontId="4" fillId="16" borderId="16" xfId="0" applyFont="1" applyFill="1" applyBorder="1" applyAlignment="1" applyProtection="1">
      <alignment horizontal="left"/>
      <protection locked="0"/>
    </xf>
    <xf numFmtId="0" fontId="4" fillId="16" borderId="15" xfId="0" applyFont="1" applyFill="1" applyBorder="1" applyAlignment="1" applyProtection="1">
      <alignment horizontal="left"/>
      <protection locked="0"/>
    </xf>
    <xf numFmtId="0" fontId="4" fillId="0" borderId="1" xfId="0" applyFont="1" applyBorder="1" applyAlignment="1" applyProtection="1">
      <alignment horizontal="left" vertical="center"/>
    </xf>
    <xf numFmtId="0" fontId="4" fillId="3" borderId="18" xfId="0" applyFont="1" applyFill="1" applyBorder="1" applyAlignment="1" applyProtection="1">
      <alignment horizontal="left"/>
      <protection locked="0"/>
    </xf>
    <xf numFmtId="0" fontId="4" fillId="3" borderId="16" xfId="0" applyFont="1" applyFill="1" applyBorder="1" applyAlignment="1" applyProtection="1">
      <alignment horizontal="left"/>
      <protection locked="0"/>
    </xf>
    <xf numFmtId="0" fontId="4" fillId="3" borderId="15" xfId="0" applyFont="1" applyFill="1" applyBorder="1" applyAlignment="1" applyProtection="1">
      <alignment horizontal="left"/>
      <protection locked="0"/>
    </xf>
    <xf numFmtId="0" fontId="4" fillId="0" borderId="18"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15" xfId="0" applyFont="1" applyFill="1" applyBorder="1" applyAlignment="1" applyProtection="1">
      <alignment horizontal="left"/>
    </xf>
    <xf numFmtId="0" fontId="7" fillId="2" borderId="18"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4" fillId="0" borderId="18" xfId="0" applyFont="1" applyBorder="1" applyAlignment="1" applyProtection="1">
      <alignment horizontal="center" wrapText="1"/>
    </xf>
    <xf numFmtId="0" fontId="4" fillId="0" borderId="16" xfId="0" applyFont="1" applyBorder="1" applyAlignment="1" applyProtection="1">
      <alignment horizontal="center" wrapText="1"/>
    </xf>
    <xf numFmtId="0" fontId="4" fillId="0" borderId="15" xfId="0" applyFont="1" applyBorder="1" applyAlignment="1" applyProtection="1">
      <alignment horizontal="center" wrapText="1"/>
    </xf>
    <xf numFmtId="0" fontId="24" fillId="2" borderId="29" xfId="0" applyFont="1" applyFill="1" applyBorder="1" applyAlignment="1" applyProtection="1">
      <alignment horizontal="center"/>
    </xf>
    <xf numFmtId="0" fontId="24" fillId="2" borderId="31" xfId="0" applyFont="1" applyFill="1" applyBorder="1" applyAlignment="1" applyProtection="1">
      <alignment horizontal="center"/>
    </xf>
    <xf numFmtId="0" fontId="24" fillId="2" borderId="32" xfId="0" applyFont="1" applyFill="1" applyBorder="1" applyAlignment="1" applyProtection="1">
      <alignment horizontal="center"/>
    </xf>
    <xf numFmtId="0" fontId="14" fillId="4" borderId="0" xfId="0" applyFont="1" applyFill="1" applyBorder="1" applyAlignment="1" applyProtection="1">
      <alignment horizontal="right"/>
    </xf>
    <xf numFmtId="165" fontId="14" fillId="0" borderId="4" xfId="0" applyNumberFormat="1" applyFont="1" applyFill="1" applyBorder="1" applyAlignment="1" applyProtection="1">
      <alignment horizontal="left"/>
    </xf>
    <xf numFmtId="165" fontId="14" fillId="0" borderId="16" xfId="0" applyNumberFormat="1" applyFont="1" applyFill="1" applyBorder="1" applyAlignment="1" applyProtection="1">
      <alignment horizontal="left"/>
    </xf>
    <xf numFmtId="165" fontId="14" fillId="0" borderId="15" xfId="0" applyNumberFormat="1" applyFont="1" applyFill="1" applyBorder="1" applyAlignment="1" applyProtection="1">
      <alignment horizontal="left"/>
    </xf>
    <xf numFmtId="0" fontId="5" fillId="2" borderId="35"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7" fillId="0" borderId="18"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5" xfId="0" applyFont="1" applyBorder="1" applyAlignment="1" applyProtection="1">
      <alignment horizontal="center" vertical="center"/>
    </xf>
    <xf numFmtId="0" fontId="14" fillId="0" borderId="4" xfId="0" applyFont="1" applyFill="1" applyBorder="1" applyAlignment="1" applyProtection="1">
      <alignment horizontal="left"/>
    </xf>
    <xf numFmtId="0" fontId="14" fillId="0" borderId="16" xfId="0" applyFont="1" applyFill="1" applyBorder="1" applyAlignment="1" applyProtection="1">
      <alignment horizontal="left"/>
    </xf>
    <xf numFmtId="0" fontId="14" fillId="0" borderId="15"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44" fontId="4" fillId="0" borderId="30" xfId="3" applyFont="1" applyFill="1" applyBorder="1" applyAlignment="1" applyProtection="1">
      <alignment vertical="center"/>
    </xf>
    <xf numFmtId="44" fontId="4" fillId="0" borderId="37" xfId="3" applyFont="1" applyFill="1" applyBorder="1" applyAlignment="1" applyProtection="1">
      <alignment vertical="center"/>
    </xf>
    <xf numFmtId="0" fontId="4" fillId="0" borderId="37"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4" fillId="0" borderId="38" xfId="0" applyFont="1" applyBorder="1" applyAlignment="1" applyProtection="1">
      <alignment horizontal="left" vertical="center" wrapText="1"/>
    </xf>
    <xf numFmtId="0" fontId="7" fillId="0" borderId="37" xfId="0" applyFont="1" applyBorder="1" applyAlignment="1" applyProtection="1">
      <alignment horizontal="right" vertical="center"/>
    </xf>
    <xf numFmtId="0" fontId="7" fillId="0" borderId="33" xfId="0" applyFont="1" applyBorder="1" applyAlignment="1" applyProtection="1">
      <alignment horizontal="right" vertical="center"/>
    </xf>
    <xf numFmtId="44" fontId="4" fillId="0" borderId="1" xfId="3" applyFont="1" applyFill="1" applyBorder="1" applyAlignment="1" applyProtection="1">
      <alignment vertical="center"/>
    </xf>
    <xf numFmtId="44" fontId="4" fillId="0" borderId="4" xfId="3" applyFont="1" applyFill="1" applyBorder="1" applyAlignment="1" applyProtection="1">
      <alignment vertical="center"/>
    </xf>
    <xf numFmtId="0" fontId="4" fillId="0" borderId="4" xfId="0"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7" fillId="0" borderId="4" xfId="0" applyFont="1" applyFill="1" applyBorder="1" applyAlignment="1" applyProtection="1">
      <alignment horizontal="right" vertical="center"/>
    </xf>
    <xf numFmtId="0" fontId="7" fillId="0" borderId="16" xfId="0" applyFont="1" applyFill="1" applyBorder="1" applyAlignment="1" applyProtection="1">
      <alignment horizontal="right" vertical="center"/>
    </xf>
    <xf numFmtId="0" fontId="4" fillId="0" borderId="1" xfId="0" applyFont="1" applyBorder="1" applyAlignment="1" applyProtection="1">
      <alignment horizontal="left" vertical="center" wrapText="1"/>
    </xf>
    <xf numFmtId="0" fontId="4" fillId="0" borderId="1" xfId="0" applyFont="1" applyBorder="1" applyAlignment="1" applyProtection="1">
      <alignment horizontal="right" vertical="center"/>
    </xf>
    <xf numFmtId="0" fontId="4" fillId="16" borderId="18" xfId="0" applyFont="1" applyFill="1" applyBorder="1" applyAlignment="1" applyProtection="1">
      <alignment horizontal="left" vertical="top"/>
      <protection locked="0"/>
    </xf>
    <xf numFmtId="0" fontId="0" fillId="16" borderId="16" xfId="0" applyFill="1" applyBorder="1" applyAlignment="1" applyProtection="1">
      <alignment horizontal="left" vertical="top"/>
      <protection locked="0"/>
    </xf>
    <xf numFmtId="0" fontId="0" fillId="16" borderId="7" xfId="0" applyFill="1" applyBorder="1" applyAlignment="1" applyProtection="1">
      <alignment horizontal="left" vertical="top"/>
      <protection locked="0"/>
    </xf>
    <xf numFmtId="0" fontId="6" fillId="13" borderId="18" xfId="0" applyFont="1" applyFill="1" applyBorder="1" applyAlignment="1" applyProtection="1">
      <alignment horizontal="center" vertical="center"/>
    </xf>
    <xf numFmtId="0" fontId="6" fillId="13" borderId="16" xfId="0" applyFont="1" applyFill="1" applyBorder="1" applyAlignment="1" applyProtection="1">
      <alignment horizontal="center" vertical="center"/>
    </xf>
    <xf numFmtId="0" fontId="6" fillId="13" borderId="7" xfId="0" applyFont="1" applyFill="1" applyBorder="1" applyAlignment="1" applyProtection="1">
      <alignment horizontal="center" vertical="center"/>
    </xf>
    <xf numFmtId="44" fontId="4" fillId="16" borderId="1" xfId="3" applyFont="1" applyFill="1" applyBorder="1" applyAlignment="1" applyProtection="1">
      <alignment vertical="center"/>
      <protection locked="0"/>
    </xf>
    <xf numFmtId="44" fontId="4" fillId="16" borderId="4" xfId="3" applyFont="1" applyFill="1" applyBorder="1" applyAlignment="1" applyProtection="1">
      <alignment vertical="center"/>
      <protection locked="0"/>
    </xf>
    <xf numFmtId="0" fontId="4" fillId="0" borderId="4"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5" xfId="0" applyFont="1" applyBorder="1" applyAlignment="1" applyProtection="1">
      <alignment horizontal="right" vertical="center"/>
    </xf>
    <xf numFmtId="164" fontId="15" fillId="1" borderId="4" xfId="0" applyNumberFormat="1" applyFont="1" applyFill="1" applyBorder="1" applyAlignment="1" applyProtection="1">
      <alignment horizontal="center"/>
    </xf>
    <xf numFmtId="164" fontId="15" fillId="1" borderId="15" xfId="0" applyNumberFormat="1" applyFont="1" applyFill="1" applyBorder="1" applyAlignment="1" applyProtection="1">
      <alignment horizontal="center"/>
    </xf>
    <xf numFmtId="0" fontId="6" fillId="0" borderId="18" xfId="0" applyFont="1" applyBorder="1" applyAlignment="1" applyProtection="1">
      <alignment horizontal="center"/>
    </xf>
    <xf numFmtId="0" fontId="6" fillId="0" borderId="16" xfId="0" applyFont="1" applyBorder="1" applyAlignment="1" applyProtection="1">
      <alignment horizontal="center"/>
    </xf>
    <xf numFmtId="0" fontId="6" fillId="0" borderId="15" xfId="0" applyFont="1" applyBorder="1" applyAlignment="1" applyProtection="1">
      <alignment horizontal="center"/>
    </xf>
    <xf numFmtId="167" fontId="4" fillId="0" borderId="1" xfId="2" applyNumberFormat="1" applyFont="1" applyBorder="1" applyAlignment="1" applyProtection="1"/>
    <xf numFmtId="0" fontId="7" fillId="13" borderId="18" xfId="0" applyFont="1" applyFill="1" applyBorder="1" applyAlignment="1" applyProtection="1">
      <alignment horizontal="left" vertical="center" wrapText="1"/>
    </xf>
    <xf numFmtId="0" fontId="7" fillId="13" borderId="16" xfId="0" applyFont="1" applyFill="1" applyBorder="1" applyAlignment="1" applyProtection="1">
      <alignment horizontal="left" vertical="center" wrapText="1"/>
    </xf>
    <xf numFmtId="0" fontId="7" fillId="13" borderId="7" xfId="0" applyFont="1" applyFill="1" applyBorder="1" applyAlignment="1" applyProtection="1">
      <alignment horizontal="left" vertical="center" wrapText="1"/>
    </xf>
    <xf numFmtId="0" fontId="24" fillId="13" borderId="29" xfId="0" applyFont="1" applyFill="1" applyBorder="1" applyAlignment="1" applyProtection="1">
      <alignment horizontal="center"/>
    </xf>
    <xf numFmtId="0" fontId="24" fillId="13" borderId="31" xfId="0" applyFont="1" applyFill="1" applyBorder="1" applyAlignment="1" applyProtection="1">
      <alignment horizontal="center"/>
    </xf>
    <xf numFmtId="0" fontId="24" fillId="13" borderId="32" xfId="0" applyFont="1" applyFill="1" applyBorder="1" applyAlignment="1" applyProtection="1">
      <alignment horizontal="center"/>
    </xf>
    <xf numFmtId="0" fontId="5" fillId="13" borderId="10" xfId="0" applyFont="1" applyFill="1" applyBorder="1" applyAlignment="1" applyProtection="1">
      <alignment horizontal="center" vertical="center"/>
    </xf>
    <xf numFmtId="0" fontId="5" fillId="13" borderId="0" xfId="0" applyFont="1" applyFill="1" applyBorder="1" applyAlignment="1" applyProtection="1">
      <alignment horizontal="center" vertical="center"/>
    </xf>
    <xf numFmtId="0" fontId="5" fillId="13" borderId="11" xfId="0" applyFont="1" applyFill="1" applyBorder="1" applyAlignment="1" applyProtection="1">
      <alignment horizontal="center" vertical="center"/>
    </xf>
    <xf numFmtId="0" fontId="5" fillId="13" borderId="35" xfId="0" applyFont="1" applyFill="1" applyBorder="1" applyAlignment="1" applyProtection="1">
      <alignment horizontal="center" vertical="center"/>
    </xf>
    <xf numFmtId="0" fontId="5" fillId="13" borderId="23" xfId="0" applyFont="1" applyFill="1" applyBorder="1" applyAlignment="1" applyProtection="1">
      <alignment horizontal="center" vertical="center"/>
    </xf>
    <xf numFmtId="0" fontId="5" fillId="13" borderId="36" xfId="0" applyFont="1" applyFill="1" applyBorder="1" applyAlignment="1" applyProtection="1">
      <alignment horizontal="center" vertical="center"/>
    </xf>
    <xf numFmtId="0" fontId="7" fillId="0" borderId="4" xfId="0" applyFont="1" applyBorder="1" applyAlignment="1" applyProtection="1">
      <alignment horizontal="center" vertical="center"/>
    </xf>
    <xf numFmtId="164" fontId="15" fillId="1" borderId="4" xfId="0" applyNumberFormat="1" applyFont="1" applyFill="1" applyBorder="1" applyAlignment="1" applyProtection="1">
      <alignment horizontal="center"/>
      <protection locked="0"/>
    </xf>
    <xf numFmtId="164" fontId="15" fillId="1" borderId="15" xfId="0" applyNumberFormat="1" applyFont="1" applyFill="1" applyBorder="1" applyAlignment="1" applyProtection="1">
      <alignment horizontal="center"/>
      <protection locked="0"/>
    </xf>
    <xf numFmtId="3" fontId="4" fillId="0" borderId="18" xfId="0" applyNumberFormat="1" applyFont="1" applyBorder="1" applyAlignment="1" applyProtection="1">
      <alignment horizontal="left"/>
    </xf>
    <xf numFmtId="3" fontId="4" fillId="0" borderId="16" xfId="0" applyNumberFormat="1" applyFont="1" applyBorder="1" applyAlignment="1" applyProtection="1">
      <alignment horizontal="left"/>
    </xf>
    <xf numFmtId="3" fontId="4" fillId="0" borderId="15" xfId="0" applyNumberFormat="1" applyFont="1" applyBorder="1" applyAlignment="1" applyProtection="1">
      <alignment horizontal="left"/>
    </xf>
    <xf numFmtId="0" fontId="4" fillId="0" borderId="4" xfId="0" applyFont="1" applyBorder="1" applyAlignment="1" applyProtection="1">
      <alignment horizontal="center" wrapText="1"/>
    </xf>
    <xf numFmtId="165" fontId="14" fillId="0" borderId="4" xfId="0" applyNumberFormat="1" applyFont="1" applyFill="1" applyBorder="1" applyAlignment="1" applyProtection="1">
      <alignment horizontal="left"/>
      <protection locked="0"/>
    </xf>
    <xf numFmtId="165" fontId="14" fillId="0" borderId="16" xfId="0" applyNumberFormat="1" applyFont="1" applyFill="1" applyBorder="1" applyAlignment="1" applyProtection="1">
      <alignment horizontal="left"/>
      <protection locked="0"/>
    </xf>
    <xf numFmtId="165" fontId="14" fillId="0" borderId="15" xfId="0" applyNumberFormat="1" applyFont="1" applyFill="1" applyBorder="1" applyAlignment="1" applyProtection="1">
      <alignment horizontal="left"/>
      <protection locked="0"/>
    </xf>
    <xf numFmtId="3" fontId="4" fillId="0" borderId="18" xfId="0" applyNumberFormat="1" applyFont="1" applyBorder="1" applyAlignment="1" applyProtection="1">
      <alignment horizontal="left" vertical="center"/>
    </xf>
    <xf numFmtId="3" fontId="4" fillId="0" borderId="16" xfId="0" applyNumberFormat="1" applyFont="1" applyBorder="1" applyAlignment="1" applyProtection="1">
      <alignment horizontal="left" vertical="center"/>
    </xf>
    <xf numFmtId="3" fontId="4" fillId="0" borderId="15" xfId="0" applyNumberFormat="1" applyFont="1" applyBorder="1" applyAlignment="1" applyProtection="1">
      <alignment horizontal="left" vertical="center"/>
    </xf>
    <xf numFmtId="167" fontId="4" fillId="16" borderId="4" xfId="2" applyNumberFormat="1" applyFont="1" applyFill="1" applyBorder="1" applyAlignment="1" applyProtection="1">
      <alignment vertical="center"/>
      <protection locked="0"/>
    </xf>
    <xf numFmtId="167" fontId="4" fillId="16" borderId="15" xfId="2" applyNumberFormat="1" applyFont="1" applyFill="1" applyBorder="1" applyAlignment="1" applyProtection="1">
      <alignment vertical="center"/>
      <protection locked="0"/>
    </xf>
    <xf numFmtId="0" fontId="4" fillId="16" borderId="18" xfId="0" applyFont="1" applyFill="1" applyBorder="1" applyAlignment="1" applyProtection="1">
      <alignment horizontal="left" vertical="center"/>
      <protection locked="0"/>
    </xf>
    <xf numFmtId="0" fontId="4" fillId="16" borderId="16" xfId="0" applyFont="1" applyFill="1" applyBorder="1" applyAlignment="1" applyProtection="1">
      <alignment horizontal="left" vertical="center"/>
      <protection locked="0"/>
    </xf>
    <xf numFmtId="0" fontId="4" fillId="16" borderId="15"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164" fontId="15" fillId="1" borderId="4" xfId="0" applyNumberFormat="1" applyFont="1" applyFill="1" applyBorder="1" applyAlignment="1" applyProtection="1">
      <alignment horizontal="center" vertical="center"/>
    </xf>
    <xf numFmtId="164" fontId="15" fillId="1" borderId="15" xfId="0" applyNumberFormat="1" applyFont="1" applyFill="1" applyBorder="1" applyAlignment="1" applyProtection="1">
      <alignment horizontal="center" vertical="center"/>
    </xf>
    <xf numFmtId="0" fontId="6" fillId="0" borderId="18"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5" xfId="0" applyFont="1" applyBorder="1" applyAlignment="1" applyProtection="1">
      <alignment horizontal="center" vertical="center"/>
    </xf>
    <xf numFmtId="167" fontId="4" fillId="0" borderId="1" xfId="2" applyNumberFormat="1" applyFont="1" applyBorder="1" applyAlignment="1" applyProtection="1">
      <alignment vertical="center"/>
    </xf>
    <xf numFmtId="0" fontId="9" fillId="2" borderId="18"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13" borderId="18" xfId="0" applyFont="1" applyFill="1" applyBorder="1" applyAlignment="1" applyProtection="1">
      <alignment horizontal="center" vertical="center"/>
    </xf>
    <xf numFmtId="0" fontId="9" fillId="13" borderId="16" xfId="0" applyFont="1" applyFill="1" applyBorder="1" applyAlignment="1" applyProtection="1">
      <alignment horizontal="center" vertical="center"/>
    </xf>
    <xf numFmtId="0" fontId="9" fillId="13" borderId="7" xfId="0" applyFont="1" applyFill="1" applyBorder="1" applyAlignment="1" applyProtection="1">
      <alignment horizontal="center" vertical="center"/>
    </xf>
    <xf numFmtId="0" fontId="4" fillId="0" borderId="4" xfId="0"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15" xfId="0" applyFont="1" applyBorder="1" applyAlignment="1" applyProtection="1">
      <alignment horizontal="left" vertical="center"/>
    </xf>
    <xf numFmtId="0" fontId="7" fillId="0" borderId="18" xfId="0" applyFont="1" applyBorder="1" applyAlignment="1" applyProtection="1">
      <alignment horizontal="center"/>
    </xf>
    <xf numFmtId="0" fontId="7" fillId="0" borderId="16" xfId="0" applyFont="1" applyBorder="1" applyAlignment="1" applyProtection="1">
      <alignment horizontal="center"/>
    </xf>
    <xf numFmtId="0" fontId="7" fillId="0" borderId="15" xfId="0" applyFont="1" applyBorder="1" applyAlignment="1" applyProtection="1">
      <alignment horizontal="center"/>
    </xf>
    <xf numFmtId="0" fontId="7" fillId="0" borderId="4" xfId="0" applyFont="1" applyBorder="1" applyAlignment="1" applyProtection="1">
      <alignment horizontal="center"/>
    </xf>
    <xf numFmtId="0" fontId="2" fillId="15" borderId="4" xfId="0" applyFont="1" applyFill="1" applyBorder="1" applyAlignment="1" applyProtection="1">
      <alignment horizontal="center" vertical="center"/>
    </xf>
    <xf numFmtId="0" fontId="2" fillId="15" borderId="16" xfId="0" applyFont="1" applyFill="1" applyBorder="1" applyAlignment="1" applyProtection="1">
      <alignment horizontal="center" vertical="center"/>
    </xf>
    <xf numFmtId="44" fontId="4" fillId="16" borderId="40" xfId="3" applyFont="1" applyFill="1" applyBorder="1" applyAlignment="1" applyProtection="1">
      <alignment vertical="center"/>
      <protection locked="0"/>
    </xf>
    <xf numFmtId="0" fontId="6" fillId="0" borderId="1" xfId="0" applyFont="1" applyFill="1" applyBorder="1" applyAlignment="1" applyProtection="1">
      <alignment horizontal="center" vertical="center" wrapText="1"/>
    </xf>
    <xf numFmtId="167" fontId="4" fillId="0" borderId="1" xfId="2" applyNumberFormat="1" applyFont="1" applyFill="1" applyBorder="1" applyAlignment="1" applyProtection="1">
      <alignment horizontal="left" vertical="center" wrapText="1" indent="1"/>
    </xf>
    <xf numFmtId="0" fontId="6" fillId="0" borderId="5" xfId="0" applyFont="1" applyFill="1" applyBorder="1" applyAlignment="1" applyProtection="1">
      <alignment horizontal="center" vertical="center" wrapText="1"/>
    </xf>
    <xf numFmtId="167" fontId="4" fillId="0" borderId="1" xfId="2" applyNumberFormat="1" applyFont="1" applyFill="1" applyBorder="1" applyAlignment="1" applyProtection="1">
      <alignment horizontal="center" vertical="center" wrapText="1"/>
    </xf>
    <xf numFmtId="0" fontId="4" fillId="1" borderId="4" xfId="0" applyFont="1" applyFill="1" applyBorder="1" applyAlignment="1" applyProtection="1">
      <alignment horizontal="center" vertical="center" wrapText="1"/>
    </xf>
    <xf numFmtId="0" fontId="4" fillId="1" borderId="15" xfId="0" applyFont="1" applyFill="1" applyBorder="1" applyAlignment="1" applyProtection="1">
      <alignment horizontal="center" vertical="center" wrapText="1"/>
    </xf>
    <xf numFmtId="44" fontId="4" fillId="16" borderId="4" xfId="3" applyFont="1" applyFill="1" applyBorder="1" applyAlignment="1" applyProtection="1">
      <alignment horizontal="center" vertical="center"/>
      <protection locked="0"/>
    </xf>
    <xf numFmtId="44" fontId="4" fillId="16" borderId="39" xfId="3" applyFont="1" applyFill="1" applyBorder="1" applyAlignment="1" applyProtection="1">
      <alignment horizontal="center" vertical="center"/>
      <protection locked="0"/>
    </xf>
    <xf numFmtId="168" fontId="2" fillId="15" borderId="16" xfId="3" applyNumberFormat="1" applyFont="1" applyFill="1" applyBorder="1" applyAlignment="1" applyProtection="1">
      <alignment horizontal="right" vertical="center"/>
    </xf>
    <xf numFmtId="168" fontId="2" fillId="15" borderId="7" xfId="3" applyNumberFormat="1" applyFont="1" applyFill="1" applyBorder="1" applyAlignment="1" applyProtection="1">
      <alignment horizontal="right" vertical="center"/>
    </xf>
    <xf numFmtId="44" fontId="4" fillId="16" borderId="1" xfId="3" applyFont="1" applyFill="1" applyBorder="1" applyAlignment="1" applyProtection="1">
      <alignment horizontal="center" vertical="center"/>
      <protection locked="0"/>
    </xf>
    <xf numFmtId="44" fontId="4" fillId="16" borderId="40" xfId="3" applyFont="1" applyFill="1" applyBorder="1" applyAlignment="1" applyProtection="1">
      <alignment horizontal="center" vertical="center"/>
      <protection locked="0"/>
    </xf>
    <xf numFmtId="44" fontId="2" fillId="15" borderId="16" xfId="3" applyNumberFormat="1" applyFont="1" applyFill="1" applyBorder="1" applyAlignment="1" applyProtection="1">
      <alignment vertical="center"/>
    </xf>
    <xf numFmtId="7" fontId="2" fillId="15" borderId="7" xfId="3" applyNumberFormat="1" applyFont="1" applyFill="1" applyBorder="1" applyAlignment="1" applyProtection="1">
      <alignment vertical="center"/>
    </xf>
    <xf numFmtId="3" fontId="4" fillId="16" borderId="4" xfId="0" applyNumberFormat="1" applyFont="1" applyFill="1" applyBorder="1" applyAlignment="1" applyProtection="1">
      <alignment vertical="center"/>
      <protection locked="0"/>
    </xf>
    <xf numFmtId="3" fontId="4" fillId="16" borderId="15" xfId="0" applyNumberFormat="1" applyFont="1" applyFill="1" applyBorder="1" applyAlignment="1" applyProtection="1">
      <alignment vertical="center"/>
      <protection locked="0"/>
    </xf>
    <xf numFmtId="44" fontId="4" fillId="0" borderId="30" xfId="3" applyFont="1" applyFill="1" applyBorder="1" applyAlignment="1" applyProtection="1">
      <alignment horizontal="center" vertical="center"/>
    </xf>
    <xf numFmtId="44" fontId="4" fillId="0" borderId="37" xfId="3" applyFont="1" applyFill="1" applyBorder="1" applyAlignment="1" applyProtection="1">
      <alignment horizontal="center" vertical="center"/>
    </xf>
    <xf numFmtId="44" fontId="4" fillId="0" borderId="1" xfId="3" applyFont="1" applyFill="1" applyBorder="1" applyAlignment="1" applyProtection="1">
      <alignment horizontal="center" vertical="center"/>
    </xf>
    <xf numFmtId="44" fontId="4" fillId="0" borderId="4" xfId="3" applyFont="1" applyFill="1" applyBorder="1" applyAlignment="1" applyProtection="1">
      <alignment horizontal="center" vertical="center"/>
    </xf>
    <xf numFmtId="0" fontId="21" fillId="9" borderId="29" xfId="0" applyFont="1" applyFill="1" applyBorder="1" applyAlignment="1" applyProtection="1">
      <alignment horizontal="center" vertical="center" wrapText="1"/>
    </xf>
    <xf numFmtId="0" fontId="21" fillId="9" borderId="31" xfId="0" applyFont="1" applyFill="1" applyBorder="1" applyAlignment="1" applyProtection="1">
      <alignment horizontal="center" vertical="center" wrapText="1"/>
    </xf>
    <xf numFmtId="0" fontId="24" fillId="2" borderId="29" xfId="0" applyFont="1" applyFill="1" applyBorder="1" applyAlignment="1" applyProtection="1">
      <alignment horizontal="center" vertical="center"/>
    </xf>
    <xf numFmtId="0" fontId="24" fillId="2" borderId="31" xfId="0" applyFont="1" applyFill="1" applyBorder="1" applyAlignment="1" applyProtection="1">
      <alignment horizontal="center" vertical="center"/>
    </xf>
    <xf numFmtId="0" fontId="24" fillId="2" borderId="32" xfId="0" applyFont="1" applyFill="1" applyBorder="1" applyAlignment="1" applyProtection="1">
      <alignment horizontal="center" vertical="center"/>
    </xf>
    <xf numFmtId="0" fontId="24" fillId="2" borderId="49" xfId="0" applyFont="1" applyFill="1" applyBorder="1" applyAlignment="1" applyProtection="1">
      <alignment horizontal="center" vertical="center"/>
    </xf>
    <xf numFmtId="0" fontId="24" fillId="2" borderId="43" xfId="0" applyFont="1" applyFill="1" applyBorder="1" applyAlignment="1" applyProtection="1">
      <alignment horizontal="center" vertical="center"/>
    </xf>
    <xf numFmtId="0" fontId="24" fillId="2" borderId="50" xfId="0" applyFont="1" applyFill="1" applyBorder="1" applyAlignment="1" applyProtection="1">
      <alignment horizontal="center" vertical="center"/>
    </xf>
    <xf numFmtId="167" fontId="20" fillId="0" borderId="0" xfId="2" applyNumberFormat="1" applyFont="1" applyFill="1" applyBorder="1" applyAlignment="1" applyProtection="1">
      <alignment horizontal="left" wrapText="1"/>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22" fillId="0" borderId="0" xfId="0" applyFont="1" applyAlignment="1" applyProtection="1">
      <alignment horizontal="center" vertical="center"/>
    </xf>
    <xf numFmtId="0" fontId="6" fillId="2" borderId="2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13" borderId="52" xfId="0" applyFont="1" applyFill="1" applyBorder="1" applyAlignment="1" applyProtection="1">
      <alignment horizontal="center" vertical="center"/>
    </xf>
    <xf numFmtId="0" fontId="6" fillId="13" borderId="53" xfId="0" applyFont="1" applyFill="1" applyBorder="1" applyAlignment="1" applyProtection="1">
      <alignment horizontal="center" vertical="center"/>
    </xf>
    <xf numFmtId="0" fontId="24" fillId="2" borderId="29"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4" xfId="0" applyFont="1" applyFill="1" applyBorder="1" applyAlignment="1">
      <alignment horizontal="center" vertical="center"/>
    </xf>
    <xf numFmtId="0" fontId="12" fillId="2" borderId="16" xfId="0" applyFont="1" applyFill="1" applyBorder="1" applyAlignment="1" applyProtection="1">
      <alignment horizontal="center" vertical="center"/>
    </xf>
    <xf numFmtId="0" fontId="12" fillId="4" borderId="16" xfId="0" applyFont="1" applyFill="1" applyBorder="1" applyAlignment="1" applyProtection="1">
      <alignment horizontal="center"/>
    </xf>
    <xf numFmtId="0" fontId="4" fillId="0" borderId="1" xfId="0" applyFont="1" applyBorder="1" applyAlignment="1" applyProtection="1">
      <alignment vertical="center"/>
    </xf>
    <xf numFmtId="0" fontId="4" fillId="0" borderId="1" xfId="0" applyFont="1" applyBorder="1" applyAlignment="1" applyProtection="1"/>
    <xf numFmtId="0" fontId="4" fillId="0" borderId="1" xfId="0" applyFont="1" applyFill="1" applyBorder="1" applyAlignment="1" applyProtection="1">
      <alignment vertical="center"/>
    </xf>
    <xf numFmtId="0" fontId="4" fillId="16" borderId="2" xfId="0" applyFont="1" applyFill="1" applyBorder="1" applyAlignment="1" applyProtection="1">
      <alignment horizontal="left" vertical="top" wrapText="1"/>
      <protection locked="0"/>
    </xf>
    <xf numFmtId="0" fontId="4" fillId="16" borderId="0" xfId="0" applyFont="1" applyFill="1" applyBorder="1" applyAlignment="1" applyProtection="1">
      <alignment horizontal="left" vertical="top" wrapText="1"/>
      <protection locked="0"/>
    </xf>
    <xf numFmtId="0" fontId="4" fillId="16" borderId="3" xfId="0" applyFont="1" applyFill="1" applyBorder="1" applyAlignment="1" applyProtection="1">
      <alignment horizontal="left" vertical="top" wrapText="1"/>
      <protection locked="0"/>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3" xfId="0" applyFont="1" applyFill="1" applyBorder="1" applyAlignment="1" applyProtection="1">
      <alignment horizontal="center"/>
    </xf>
    <xf numFmtId="0" fontId="14" fillId="0" borderId="0" xfId="0" applyFont="1" applyFill="1" applyBorder="1" applyAlignment="1" applyProtection="1">
      <alignment horizontal="center"/>
    </xf>
    <xf numFmtId="0" fontId="14" fillId="0" borderId="3" xfId="0" applyFont="1" applyFill="1" applyBorder="1" applyAlignment="1" applyProtection="1">
      <alignment horizontal="center"/>
    </xf>
    <xf numFmtId="0" fontId="0" fillId="0" borderId="43" xfId="0" applyFill="1" applyBorder="1" applyAlignment="1" applyProtection="1">
      <alignment horizontal="center"/>
      <protection locked="0"/>
    </xf>
    <xf numFmtId="0" fontId="4" fillId="0" borderId="0" xfId="0" applyFont="1" applyFill="1" applyBorder="1" applyAlignment="1" applyProtection="1">
      <alignment horizontal="left"/>
    </xf>
    <xf numFmtId="0" fontId="4" fillId="0" borderId="2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44" fontId="4" fillId="0" borderId="52" xfId="3" applyFont="1" applyFill="1" applyBorder="1" applyAlignment="1" applyProtection="1">
      <alignment horizontal="center"/>
    </xf>
    <xf numFmtId="44" fontId="4" fillId="0" borderId="56" xfId="3" applyFont="1" applyFill="1" applyBorder="1" applyAlignment="1" applyProtection="1">
      <alignment horizontal="center"/>
    </xf>
    <xf numFmtId="44" fontId="4" fillId="0" borderId="57" xfId="3" applyFont="1" applyFill="1" applyBorder="1" applyAlignment="1" applyProtection="1">
      <alignment horizontal="center"/>
    </xf>
    <xf numFmtId="44" fontId="4" fillId="0" borderId="18" xfId="3" applyFont="1" applyFill="1" applyBorder="1" applyAlignment="1" applyProtection="1">
      <alignment horizontal="center"/>
    </xf>
    <xf numFmtId="44" fontId="4" fillId="0" borderId="16" xfId="3" applyFont="1" applyFill="1" applyBorder="1" applyAlignment="1" applyProtection="1">
      <alignment horizontal="center"/>
    </xf>
    <xf numFmtId="44" fontId="4" fillId="0" borderId="15" xfId="3" applyFont="1" applyFill="1" applyBorder="1" applyAlignment="1" applyProtection="1">
      <alignment horizontal="center"/>
    </xf>
    <xf numFmtId="44" fontId="7" fillId="0" borderId="18" xfId="3" applyFont="1" applyFill="1" applyBorder="1" applyAlignment="1" applyProtection="1">
      <alignment horizontal="center"/>
    </xf>
    <xf numFmtId="44" fontId="7" fillId="0" borderId="16" xfId="3" applyFont="1" applyFill="1" applyBorder="1" applyAlignment="1" applyProtection="1">
      <alignment horizontal="center"/>
    </xf>
    <xf numFmtId="44" fontId="7" fillId="0" borderId="15" xfId="3" applyFont="1" applyFill="1" applyBorder="1" applyAlignment="1" applyProtection="1">
      <alignment horizontal="center"/>
    </xf>
    <xf numFmtId="0" fontId="0" fillId="0" borderId="2" xfId="0" applyFill="1" applyBorder="1" applyAlignment="1" applyProtection="1">
      <alignment horizontal="center"/>
    </xf>
    <xf numFmtId="0" fontId="0" fillId="0" borderId="0" xfId="0" applyFill="1" applyBorder="1" applyAlignment="1" applyProtection="1">
      <alignment horizontal="center"/>
    </xf>
    <xf numFmtId="0" fontId="0" fillId="0" borderId="3" xfId="0" applyFill="1" applyBorder="1" applyAlignment="1" applyProtection="1">
      <alignment horizontal="center"/>
    </xf>
    <xf numFmtId="0" fontId="3" fillId="10" borderId="4" xfId="0" applyFont="1" applyFill="1" applyBorder="1" applyAlignment="1" applyProtection="1">
      <alignment horizontal="center" wrapText="1"/>
    </xf>
    <xf numFmtId="0" fontId="3" fillId="10" borderId="16" xfId="0" applyFont="1" applyFill="1" applyBorder="1" applyAlignment="1" applyProtection="1">
      <alignment horizontal="center" wrapText="1"/>
    </xf>
    <xf numFmtId="0" fontId="3" fillId="10" borderId="15" xfId="0" applyFont="1" applyFill="1" applyBorder="1" applyAlignment="1" applyProtection="1">
      <alignment horizontal="center" wrapText="1"/>
    </xf>
    <xf numFmtId="0" fontId="23" fillId="2" borderId="17" xfId="0" applyFont="1" applyFill="1" applyBorder="1" applyAlignment="1" applyProtection="1">
      <alignment horizontal="center" vertical="center"/>
    </xf>
    <xf numFmtId="0" fontId="23" fillId="2" borderId="23" xfId="0" applyFont="1" applyFill="1" applyBorder="1" applyAlignment="1" applyProtection="1">
      <alignment horizontal="center" vertical="center"/>
    </xf>
    <xf numFmtId="0" fontId="23" fillId="2" borderId="24"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6" fillId="0" borderId="21"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2"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2" fillId="2" borderId="16" xfId="0" applyFont="1"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15" xfId="0" applyFill="1" applyBorder="1" applyAlignment="1" applyProtection="1">
      <alignment horizontal="left" vertical="center"/>
    </xf>
    <xf numFmtId="44" fontId="12" fillId="15" borderId="17" xfId="3" applyFont="1" applyFill="1" applyBorder="1" applyAlignment="1" applyProtection="1">
      <alignment horizontal="center" vertical="center" wrapText="1"/>
    </xf>
    <xf numFmtId="44" fontId="12" fillId="15" borderId="24" xfId="3" applyFont="1" applyFill="1" applyBorder="1" applyAlignment="1" applyProtection="1">
      <alignment horizontal="center" vertical="center" wrapText="1"/>
    </xf>
    <xf numFmtId="44" fontId="12" fillId="15" borderId="25" xfId="3" applyFont="1" applyFill="1" applyBorder="1" applyAlignment="1" applyProtection="1">
      <alignment horizontal="center" vertical="center" wrapText="1"/>
    </xf>
    <xf numFmtId="44" fontId="12" fillId="15" borderId="26" xfId="3"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4" fillId="11" borderId="0" xfId="0" applyFont="1" applyFill="1" applyBorder="1" applyAlignment="1" applyProtection="1">
      <alignment horizontal="left"/>
    </xf>
    <xf numFmtId="0" fontId="4" fillId="11" borderId="3" xfId="0" applyFont="1" applyFill="1" applyBorder="1" applyAlignment="1" applyProtection="1">
      <alignment horizontal="left"/>
    </xf>
    <xf numFmtId="0" fontId="16" fillId="5" borderId="0" xfId="1" applyAlignment="1">
      <alignment horizontal="center"/>
    </xf>
    <xf numFmtId="0" fontId="18" fillId="7" borderId="0" xfId="6" applyAlignment="1">
      <alignment horizontal="center"/>
    </xf>
    <xf numFmtId="0" fontId="17" fillId="6" borderId="0" xfId="5" applyBorder="1" applyAlignment="1">
      <alignment horizontal="center"/>
    </xf>
  </cellXfs>
  <cellStyles count="9">
    <cellStyle name="Bad" xfId="1" builtinId="27"/>
    <cellStyle name="Comma" xfId="2" builtinId="3"/>
    <cellStyle name="Currency" xfId="3" builtinId="4"/>
    <cellStyle name="Currency 2" xfId="4" xr:uid="{00000000-0005-0000-0000-000003000000}"/>
    <cellStyle name="Good" xfId="5" builtinId="26"/>
    <cellStyle name="Neutral" xfId="6" builtinId="28"/>
    <cellStyle name="Normal" xfId="0" builtinId="0"/>
    <cellStyle name="Normal 2" xfId="7" xr:uid="{00000000-0005-0000-0000-000007000000}"/>
    <cellStyle name="Percent" xfId="8"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Period</a:t>
            </a:r>
            <a:r>
              <a:rPr lang="en-US" baseline="0"/>
              <a:t> </a:t>
            </a:r>
            <a:r>
              <a:rPr lang="en-US"/>
              <a:t>1</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'Additional Trips and Funds'!$B$25</c:f>
              <c:strCache>
                <c:ptCount val="1"/>
                <c:pt idx="0">
                  <c:v>Original Allocation</c:v>
                </c:pt>
              </c:strCache>
            </c:strRef>
          </c:tx>
          <c:spPr>
            <a:solidFill>
              <a:schemeClr val="accent1"/>
            </a:solidFill>
            <a:ln>
              <a:noFill/>
            </a:ln>
            <a:effectLst/>
          </c:spPr>
          <c:invertIfNegative val="0"/>
          <c:cat>
            <c:strRef>
              <c:f>'Additional Trips and Funds'!$A$26:$A$28</c:f>
              <c:strCache>
                <c:ptCount val="3"/>
                <c:pt idx="0">
                  <c:v>EDTAP</c:v>
                </c:pt>
                <c:pt idx="1">
                  <c:v>EMPL</c:v>
                </c:pt>
                <c:pt idx="2">
                  <c:v>RGP</c:v>
                </c:pt>
              </c:strCache>
            </c:strRef>
          </c:cat>
          <c:val>
            <c:numRef>
              <c:f>'Additional Trips and Funds'!$B$26:$B$28</c:f>
              <c:numCache>
                <c:formatCode>_(* #,##0_);_(* \(#,##0\);_(* "-"??_);_(@_)</c:formatCode>
                <c:ptCount val="3"/>
                <c:pt idx="0">
                  <c:v>0</c:v>
                </c:pt>
                <c:pt idx="1">
                  <c:v>0</c:v>
                </c:pt>
                <c:pt idx="2">
                  <c:v>0</c:v>
                </c:pt>
              </c:numCache>
            </c:numRef>
          </c:val>
          <c:extLst>
            <c:ext xmlns:c16="http://schemas.microsoft.com/office/drawing/2014/chart" uri="{C3380CC4-5D6E-409C-BE32-E72D297353CC}">
              <c16:uniqueId val="{00000000-BE2A-4608-8C0C-5BDAE06E775B}"/>
            </c:ext>
          </c:extLst>
        </c:ser>
        <c:ser>
          <c:idx val="1"/>
          <c:order val="1"/>
          <c:tx>
            <c:strRef>
              <c:f>'Additional Trips and Funds'!$C$25</c:f>
              <c:strCache>
                <c:ptCount val="1"/>
                <c:pt idx="0">
                  <c:v>Amount Expended</c:v>
                </c:pt>
              </c:strCache>
            </c:strRef>
          </c:tx>
          <c:spPr>
            <a:solidFill>
              <a:schemeClr val="accent2"/>
            </a:solidFill>
            <a:ln>
              <a:noFill/>
            </a:ln>
            <a:effectLst/>
          </c:spPr>
          <c:invertIfNegative val="0"/>
          <c:cat>
            <c:strRef>
              <c:f>'Additional Trips and Funds'!$A$26:$A$28</c:f>
              <c:strCache>
                <c:ptCount val="3"/>
                <c:pt idx="0">
                  <c:v>EDTAP</c:v>
                </c:pt>
                <c:pt idx="1">
                  <c:v>EMPL</c:v>
                </c:pt>
                <c:pt idx="2">
                  <c:v>RGP</c:v>
                </c:pt>
              </c:strCache>
            </c:strRef>
          </c:cat>
          <c:val>
            <c:numRef>
              <c:f>'Additional Trips and Funds'!$C$26:$C$28</c:f>
              <c:numCache>
                <c:formatCode>_("$"* #,##0.00_);_("$"* \(#,##0.00\);_("$"* "-"??_);_(@_)</c:formatCode>
                <c:ptCount val="3"/>
                <c:pt idx="0">
                  <c:v>0</c:v>
                </c:pt>
                <c:pt idx="1">
                  <c:v>0</c:v>
                </c:pt>
                <c:pt idx="2">
                  <c:v>0</c:v>
                </c:pt>
              </c:numCache>
            </c:numRef>
          </c:val>
          <c:extLst>
            <c:ext xmlns:c16="http://schemas.microsoft.com/office/drawing/2014/chart" uri="{C3380CC4-5D6E-409C-BE32-E72D297353CC}">
              <c16:uniqueId val="{00000001-BE2A-4608-8C0C-5BDAE06E775B}"/>
            </c:ext>
          </c:extLst>
        </c:ser>
        <c:dLbls>
          <c:showLegendKey val="0"/>
          <c:showVal val="0"/>
          <c:showCatName val="0"/>
          <c:showSerName val="0"/>
          <c:showPercent val="0"/>
          <c:showBubbleSize val="0"/>
        </c:dLbls>
        <c:gapWidth val="219"/>
        <c:overlap val="-27"/>
        <c:axId val="650378328"/>
        <c:axId val="650384208"/>
      </c:barChart>
      <c:catAx>
        <c:axId val="65037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384208"/>
        <c:crosses val="autoZero"/>
        <c:auto val="1"/>
        <c:lblAlgn val="ctr"/>
        <c:lblOffset val="100"/>
        <c:noMultiLvlLbl val="0"/>
      </c:catAx>
      <c:valAx>
        <c:axId val="6503842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378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Period</a:t>
            </a:r>
            <a:r>
              <a:rPr lang="en-US" baseline="0"/>
              <a:t> </a:t>
            </a:r>
            <a:r>
              <a:rPr lang="en-US"/>
              <a:t>2</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'Additional Trips and Funds'!$E$25</c:f>
              <c:strCache>
                <c:ptCount val="1"/>
                <c:pt idx="0">
                  <c:v>Original Allocation</c:v>
                </c:pt>
              </c:strCache>
            </c:strRef>
          </c:tx>
          <c:spPr>
            <a:solidFill>
              <a:schemeClr val="accent1"/>
            </a:solidFill>
            <a:ln>
              <a:noFill/>
            </a:ln>
            <a:effectLst/>
          </c:spPr>
          <c:invertIfNegative val="0"/>
          <c:cat>
            <c:strRef>
              <c:f>'Additional Trips and Funds'!$A$26:$A$28</c:f>
              <c:strCache>
                <c:ptCount val="3"/>
                <c:pt idx="0">
                  <c:v>EDTAP</c:v>
                </c:pt>
                <c:pt idx="1">
                  <c:v>EMPL</c:v>
                </c:pt>
                <c:pt idx="2">
                  <c:v>RGP</c:v>
                </c:pt>
              </c:strCache>
            </c:strRef>
          </c:cat>
          <c:val>
            <c:numRef>
              <c:f>'Additional Trips and Funds'!$E$26:$E$28</c:f>
              <c:numCache>
                <c:formatCode>_(* #,##0_);_(* \(#,##0\);_(* "-"??_);_(@_)</c:formatCode>
                <c:ptCount val="3"/>
                <c:pt idx="0">
                  <c:v>0</c:v>
                </c:pt>
                <c:pt idx="1">
                  <c:v>0</c:v>
                </c:pt>
                <c:pt idx="2">
                  <c:v>0</c:v>
                </c:pt>
              </c:numCache>
            </c:numRef>
          </c:val>
          <c:extLst>
            <c:ext xmlns:c16="http://schemas.microsoft.com/office/drawing/2014/chart" uri="{C3380CC4-5D6E-409C-BE32-E72D297353CC}">
              <c16:uniqueId val="{00000000-8CB6-4EC8-BDBB-5B0BCC78859E}"/>
            </c:ext>
          </c:extLst>
        </c:ser>
        <c:ser>
          <c:idx val="1"/>
          <c:order val="1"/>
          <c:tx>
            <c:strRef>
              <c:f>'Additional Trips and Funds'!$F$25</c:f>
              <c:strCache>
                <c:ptCount val="1"/>
                <c:pt idx="0">
                  <c:v>Amount Expended</c:v>
                </c:pt>
              </c:strCache>
            </c:strRef>
          </c:tx>
          <c:spPr>
            <a:solidFill>
              <a:schemeClr val="accent2"/>
            </a:solidFill>
            <a:ln>
              <a:noFill/>
            </a:ln>
            <a:effectLst/>
          </c:spPr>
          <c:invertIfNegative val="0"/>
          <c:cat>
            <c:strRef>
              <c:f>'Additional Trips and Funds'!$A$26:$A$28</c:f>
              <c:strCache>
                <c:ptCount val="3"/>
                <c:pt idx="0">
                  <c:v>EDTAP</c:v>
                </c:pt>
                <c:pt idx="1">
                  <c:v>EMPL</c:v>
                </c:pt>
                <c:pt idx="2">
                  <c:v>RGP</c:v>
                </c:pt>
              </c:strCache>
            </c:strRef>
          </c:cat>
          <c:val>
            <c:numRef>
              <c:f>'Additional Trips and Funds'!$F$26:$F$28</c:f>
              <c:numCache>
                <c:formatCode>_("$"* #,##0.00_);_("$"* \(#,##0.00\);_("$"* "-"??_);_(@_)</c:formatCode>
                <c:ptCount val="3"/>
                <c:pt idx="0">
                  <c:v>0</c:v>
                </c:pt>
                <c:pt idx="1">
                  <c:v>0</c:v>
                </c:pt>
                <c:pt idx="2">
                  <c:v>0</c:v>
                </c:pt>
              </c:numCache>
            </c:numRef>
          </c:val>
          <c:extLst>
            <c:ext xmlns:c16="http://schemas.microsoft.com/office/drawing/2014/chart" uri="{C3380CC4-5D6E-409C-BE32-E72D297353CC}">
              <c16:uniqueId val="{00000001-8CB6-4EC8-BDBB-5B0BCC78859E}"/>
            </c:ext>
          </c:extLst>
        </c:ser>
        <c:dLbls>
          <c:showLegendKey val="0"/>
          <c:showVal val="0"/>
          <c:showCatName val="0"/>
          <c:showSerName val="0"/>
          <c:showPercent val="0"/>
          <c:showBubbleSize val="0"/>
        </c:dLbls>
        <c:gapWidth val="219"/>
        <c:overlap val="-27"/>
        <c:axId val="650385776"/>
        <c:axId val="650381856"/>
      </c:barChart>
      <c:catAx>
        <c:axId val="65038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381856"/>
        <c:crosses val="autoZero"/>
        <c:auto val="1"/>
        <c:lblAlgn val="ctr"/>
        <c:lblOffset val="100"/>
        <c:noMultiLvlLbl val="0"/>
      </c:catAx>
      <c:valAx>
        <c:axId val="6503818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38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Fiscal Year Total</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'Additional Trips and Funds'!$H$25</c:f>
              <c:strCache>
                <c:ptCount val="1"/>
                <c:pt idx="0">
                  <c:v>Original Allocation</c:v>
                </c:pt>
              </c:strCache>
            </c:strRef>
          </c:tx>
          <c:spPr>
            <a:solidFill>
              <a:schemeClr val="accent1"/>
            </a:solidFill>
            <a:ln>
              <a:noFill/>
            </a:ln>
            <a:effectLst/>
          </c:spPr>
          <c:invertIfNegative val="0"/>
          <c:cat>
            <c:strRef>
              <c:f>'Additional Trips and Funds'!$A$26:$A$28</c:f>
              <c:strCache>
                <c:ptCount val="3"/>
                <c:pt idx="0">
                  <c:v>EDTAP</c:v>
                </c:pt>
                <c:pt idx="1">
                  <c:v>EMPL</c:v>
                </c:pt>
                <c:pt idx="2">
                  <c:v>RGP</c:v>
                </c:pt>
              </c:strCache>
            </c:strRef>
          </c:cat>
          <c:val>
            <c:numRef>
              <c:f>'Additional Trips and Funds'!$H$26:$H$28</c:f>
              <c:numCache>
                <c:formatCode>_(* #,##0_);_(* \(#,##0\);_(* "-"??_);_(@_)</c:formatCode>
                <c:ptCount val="3"/>
                <c:pt idx="0">
                  <c:v>0</c:v>
                </c:pt>
                <c:pt idx="1">
                  <c:v>0</c:v>
                </c:pt>
                <c:pt idx="2">
                  <c:v>0</c:v>
                </c:pt>
              </c:numCache>
            </c:numRef>
          </c:val>
          <c:extLst>
            <c:ext xmlns:c16="http://schemas.microsoft.com/office/drawing/2014/chart" uri="{C3380CC4-5D6E-409C-BE32-E72D297353CC}">
              <c16:uniqueId val="{00000000-34B4-4A73-AD42-FF43B484CDBF}"/>
            </c:ext>
          </c:extLst>
        </c:ser>
        <c:ser>
          <c:idx val="1"/>
          <c:order val="1"/>
          <c:tx>
            <c:strRef>
              <c:f>'Additional Trips and Funds'!$I$25</c:f>
              <c:strCache>
                <c:ptCount val="1"/>
                <c:pt idx="0">
                  <c:v>Amount Expended</c:v>
                </c:pt>
              </c:strCache>
            </c:strRef>
          </c:tx>
          <c:spPr>
            <a:solidFill>
              <a:schemeClr val="accent2"/>
            </a:solidFill>
            <a:ln>
              <a:noFill/>
            </a:ln>
            <a:effectLst/>
          </c:spPr>
          <c:invertIfNegative val="0"/>
          <c:cat>
            <c:strRef>
              <c:f>'Additional Trips and Funds'!$A$26:$A$28</c:f>
              <c:strCache>
                <c:ptCount val="3"/>
                <c:pt idx="0">
                  <c:v>EDTAP</c:v>
                </c:pt>
                <c:pt idx="1">
                  <c:v>EMPL</c:v>
                </c:pt>
                <c:pt idx="2">
                  <c:v>RGP</c:v>
                </c:pt>
              </c:strCache>
            </c:strRef>
          </c:cat>
          <c:val>
            <c:numRef>
              <c:f>'Additional Trips and Funds'!$I$26:$I$28</c:f>
              <c:numCache>
                <c:formatCode>_("$"* #,##0.00_);_("$"* \(#,##0.00\);_("$"* "-"??_);_(@_)</c:formatCode>
                <c:ptCount val="3"/>
                <c:pt idx="0">
                  <c:v>0</c:v>
                </c:pt>
                <c:pt idx="1">
                  <c:v>0</c:v>
                </c:pt>
                <c:pt idx="2">
                  <c:v>0</c:v>
                </c:pt>
              </c:numCache>
            </c:numRef>
          </c:val>
          <c:extLst>
            <c:ext xmlns:c16="http://schemas.microsoft.com/office/drawing/2014/chart" uri="{C3380CC4-5D6E-409C-BE32-E72D297353CC}">
              <c16:uniqueId val="{00000001-34B4-4A73-AD42-FF43B484CDBF}"/>
            </c:ext>
          </c:extLst>
        </c:ser>
        <c:dLbls>
          <c:showLegendKey val="0"/>
          <c:showVal val="0"/>
          <c:showCatName val="0"/>
          <c:showSerName val="0"/>
          <c:showPercent val="0"/>
          <c:showBubbleSize val="0"/>
        </c:dLbls>
        <c:gapWidth val="219"/>
        <c:overlap val="-27"/>
        <c:axId val="650382248"/>
        <c:axId val="650385384"/>
      </c:barChart>
      <c:catAx>
        <c:axId val="650382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385384"/>
        <c:crosses val="autoZero"/>
        <c:auto val="1"/>
        <c:lblAlgn val="ctr"/>
        <c:lblOffset val="100"/>
        <c:noMultiLvlLbl val="0"/>
      </c:catAx>
      <c:valAx>
        <c:axId val="6503853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382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3381</xdr:rowOff>
    </xdr:from>
    <xdr:to>
      <xdr:col>3</xdr:col>
      <xdr:colOff>7682</xdr:colOff>
      <xdr:row>28</xdr:row>
      <xdr:rowOff>144363</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14</xdr:row>
      <xdr:rowOff>0</xdr:rowOff>
    </xdr:from>
    <xdr:to>
      <xdr:col>7</xdr:col>
      <xdr:colOff>248031</xdr:colOff>
      <xdr:row>28</xdr:row>
      <xdr:rowOff>140589</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246723</xdr:colOff>
      <xdr:row>14</xdr:row>
      <xdr:rowOff>1</xdr:rowOff>
    </xdr:from>
    <xdr:to>
      <xdr:col>10</xdr:col>
      <xdr:colOff>618579</xdr:colOff>
      <xdr:row>28</xdr:row>
      <xdr:rowOff>142876</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JSCOTT\AppData\Local\Microsoft\Windows\Temporary%20Internet%20Files\Content.Outlook\U9KAUE28\G%20-%20FY17%20Quarterly%20Milestone%20ROAP%20Report%20Form%2020170424%20-%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view"/>
      <sheetName val="EDTAP"/>
      <sheetName val="EDTAP cumulative"/>
      <sheetName val="EMPL"/>
      <sheetName val="RGP"/>
      <sheetName val="Local Funds"/>
      <sheetName val="Summary"/>
      <sheetName val="Transaction log"/>
      <sheetName val="Sheet3"/>
      <sheetName val="Transit Names"/>
    </sheetNames>
    <sheetDataSet>
      <sheetData sheetId="0"/>
      <sheetData sheetId="1"/>
      <sheetData sheetId="2">
        <row r="27">
          <cell r="H27">
            <v>0</v>
          </cell>
        </row>
      </sheetData>
      <sheetData sheetId="3"/>
      <sheetData sheetId="4">
        <row r="14">
          <cell r="F14">
            <v>0</v>
          </cell>
        </row>
      </sheetData>
      <sheetData sheetId="5">
        <row r="11">
          <cell r="K11">
            <v>0</v>
          </cell>
        </row>
      </sheetData>
      <sheetData sheetId="6"/>
      <sheetData sheetId="7"/>
      <sheetData sheetId="8"/>
      <sheetData sheetId="9"/>
      <sheetData sheetId="10">
        <row r="1">
          <cell r="A1" t="str">
            <v>Alamance County Transportation Authority 001</v>
          </cell>
          <cell r="B1" t="str">
            <v>Alamance 01</v>
          </cell>
        </row>
        <row r="2">
          <cell r="A2" t="str">
            <v>Albemarle Regional Health Services 053</v>
          </cell>
          <cell r="B2" t="str">
            <v>Albemarle Regional Health Services 053</v>
          </cell>
        </row>
        <row r="3">
          <cell r="A3" t="str">
            <v>Alleghany County 005</v>
          </cell>
          <cell r="B3" t="str">
            <v>Alexander 02</v>
          </cell>
        </row>
        <row r="4">
          <cell r="A4" t="str">
            <v>Anson County 007</v>
          </cell>
          <cell r="B4" t="str">
            <v>Alleghany 03</v>
          </cell>
        </row>
        <row r="5">
          <cell r="A5" t="str">
            <v>AppalCART 189</v>
          </cell>
          <cell r="B5" t="str">
            <v>Anson 04</v>
          </cell>
        </row>
        <row r="6">
          <cell r="A6" t="str">
            <v>Ashe County Transportation Authority, Inc. 009</v>
          </cell>
          <cell r="B6" t="str">
            <v>Ashe 05</v>
          </cell>
        </row>
        <row r="7">
          <cell r="A7" t="str">
            <v>Avery County Transportation Authority 011</v>
          </cell>
          <cell r="B7" t="str">
            <v>Avery 06</v>
          </cell>
        </row>
        <row r="8">
          <cell r="A8" t="str">
            <v>Beaufort County Developmental Center Inc. 013</v>
          </cell>
          <cell r="B8" t="str">
            <v>Beaufort 07</v>
          </cell>
        </row>
        <row r="9">
          <cell r="A9" t="str">
            <v>Bladen County 017</v>
          </cell>
          <cell r="B9" t="str">
            <v>Bertie 08</v>
          </cell>
        </row>
        <row r="10">
          <cell r="A10" t="str">
            <v>Brunswick Transit System, Inc. 019</v>
          </cell>
          <cell r="B10" t="str">
            <v>Bladen 09</v>
          </cell>
        </row>
        <row r="11">
          <cell r="A11" t="str">
            <v>Buncombe County 021</v>
          </cell>
          <cell r="B11" t="str">
            <v>Brunswick 10</v>
          </cell>
        </row>
        <row r="12">
          <cell r="A12" t="str">
            <v>Burke 023</v>
          </cell>
          <cell r="B12" t="str">
            <v>Buncombe 11</v>
          </cell>
        </row>
        <row r="13">
          <cell r="A13" t="str">
            <v>Cabarrus County 025</v>
          </cell>
          <cell r="B13" t="str">
            <v>Burke 12</v>
          </cell>
        </row>
        <row r="14">
          <cell r="A14" t="str">
            <v>Caldwell 027</v>
          </cell>
          <cell r="B14" t="str">
            <v>Cabarrus 13</v>
          </cell>
        </row>
        <row r="15">
          <cell r="A15" t="str">
            <v>Cape Fear Public Transportation Authority - WAVE Transit 129</v>
          </cell>
          <cell r="B15" t="str">
            <v>Caldwell 14</v>
          </cell>
        </row>
        <row r="16">
          <cell r="A16" t="str">
            <v>Carteret County  031</v>
          </cell>
          <cell r="B16" t="str">
            <v>Camden 15</v>
          </cell>
        </row>
        <row r="17">
          <cell r="A17" t="str">
            <v>Caswell County 033</v>
          </cell>
          <cell r="B17" t="str">
            <v>Carteret 16</v>
          </cell>
        </row>
        <row r="18">
          <cell r="A18" t="str">
            <v>Chatham Transit Network 037</v>
          </cell>
          <cell r="B18" t="str">
            <v>Caswell 17</v>
          </cell>
        </row>
        <row r="19">
          <cell r="A19" t="str">
            <v>Cherokee County 039</v>
          </cell>
          <cell r="B19" t="str">
            <v>Catawba 18</v>
          </cell>
        </row>
        <row r="20">
          <cell r="A20" t="str">
            <v>Choanoke Public Transportation Authority 091</v>
          </cell>
          <cell r="B20" t="str">
            <v>Chatham 19</v>
          </cell>
        </row>
        <row r="21">
          <cell r="A21" t="str">
            <v>Clay County 043</v>
          </cell>
          <cell r="B21" t="str">
            <v>Cherokee 20</v>
          </cell>
        </row>
        <row r="22">
          <cell r="A22" t="str">
            <v>Columbus County 047</v>
          </cell>
          <cell r="B22" t="str">
            <v>Choanoke Public Transportation Authority 091</v>
          </cell>
        </row>
        <row r="23">
          <cell r="A23" t="str">
            <v>Craven County 049</v>
          </cell>
          <cell r="B23" t="str">
            <v>Chowan 21</v>
          </cell>
        </row>
        <row r="24">
          <cell r="A24" t="str">
            <v>Cumberland County 051</v>
          </cell>
          <cell r="B24" t="str">
            <v>Clay 22</v>
          </cell>
        </row>
        <row r="25">
          <cell r="A25" t="str">
            <v>Dare County 055</v>
          </cell>
          <cell r="B25" t="str">
            <v>Cleveland 23</v>
          </cell>
        </row>
        <row r="26">
          <cell r="A26" t="str">
            <v>Davidson County 057</v>
          </cell>
          <cell r="B26" t="str">
            <v>Columbus 24</v>
          </cell>
        </row>
        <row r="27">
          <cell r="A27" t="str">
            <v>Duplin County 061</v>
          </cell>
          <cell r="B27" t="str">
            <v>Craven 25</v>
          </cell>
        </row>
        <row r="28">
          <cell r="A28" t="str">
            <v>Durham County- Community Transportation 063</v>
          </cell>
          <cell r="B28" t="str">
            <v>Cumberland 26</v>
          </cell>
        </row>
        <row r="29">
          <cell r="A29" t="str">
            <v>Eastern Band of Cherokee Indians 002</v>
          </cell>
          <cell r="B29" t="str">
            <v>Currituck 27</v>
          </cell>
        </row>
        <row r="30">
          <cell r="A30" t="str">
            <v>Gaston County 071</v>
          </cell>
          <cell r="B30" t="str">
            <v>Dare 28</v>
          </cell>
        </row>
        <row r="31">
          <cell r="A31" t="str">
            <v>Gates County 073</v>
          </cell>
          <cell r="B31" t="str">
            <v>Davidson 29</v>
          </cell>
        </row>
        <row r="32">
          <cell r="A32" t="str">
            <v>Goldsboro-Wayne Transportation Authority- Community Transportation 191</v>
          </cell>
          <cell r="B32" t="str">
            <v>Davie 30</v>
          </cell>
        </row>
        <row r="33">
          <cell r="A33" t="str">
            <v>Graham County 075</v>
          </cell>
          <cell r="B33" t="str">
            <v>Duplin 31</v>
          </cell>
        </row>
        <row r="34">
          <cell r="A34" t="str">
            <v>Greene County 079</v>
          </cell>
          <cell r="B34" t="str">
            <v>Durham 32</v>
          </cell>
        </row>
        <row r="35">
          <cell r="A35" t="str">
            <v>Guilford County 081</v>
          </cell>
          <cell r="B35" t="str">
            <v>Edgecombe 33</v>
          </cell>
        </row>
        <row r="36">
          <cell r="A36" t="str">
            <v>Harnett County 085</v>
          </cell>
          <cell r="B36" t="str">
            <v>Forsyth 34</v>
          </cell>
        </row>
        <row r="37">
          <cell r="A37" t="str">
            <v>Hoke County 093</v>
          </cell>
          <cell r="B37" t="str">
            <v>Franklin 35</v>
          </cell>
        </row>
        <row r="38">
          <cell r="A38" t="str">
            <v>Hyde County Non-Profit Private Transportation Corp Inc. 095</v>
          </cell>
          <cell r="B38" t="str">
            <v>Gaston 36</v>
          </cell>
        </row>
        <row r="39">
          <cell r="A39" t="str">
            <v>Iredell County 097</v>
          </cell>
          <cell r="B39" t="str">
            <v>Gates 37</v>
          </cell>
        </row>
        <row r="40">
          <cell r="A40" t="str">
            <v>Jackson County 099</v>
          </cell>
          <cell r="B40" t="str">
            <v>Graham 38</v>
          </cell>
        </row>
        <row r="41">
          <cell r="A41" t="str">
            <v>Johnston County Council on Aging, Inc. 101</v>
          </cell>
          <cell r="B41" t="str">
            <v>Granville 39</v>
          </cell>
        </row>
        <row r="42">
          <cell r="A42" t="str">
            <v>Kerr Area Transportation Authority 185</v>
          </cell>
          <cell r="B42" t="str">
            <v>Greene 40</v>
          </cell>
        </row>
        <row r="43">
          <cell r="A43" t="str">
            <v>Lee County 105</v>
          </cell>
          <cell r="B43" t="str">
            <v>Guilford 41</v>
          </cell>
        </row>
        <row r="44">
          <cell r="A44" t="str">
            <v>Lenoir County 107</v>
          </cell>
          <cell r="B44" t="str">
            <v>Halifax 42</v>
          </cell>
        </row>
        <row r="45">
          <cell r="A45" t="str">
            <v>Lincoln County 109</v>
          </cell>
          <cell r="B45" t="str">
            <v>Harnett 43</v>
          </cell>
        </row>
        <row r="46">
          <cell r="A46" t="str">
            <v>Macon County 113</v>
          </cell>
          <cell r="B46" t="str">
            <v>Haywood 44</v>
          </cell>
        </row>
        <row r="47">
          <cell r="A47" t="str">
            <v>Madison County Transportation Authority 115</v>
          </cell>
          <cell r="B47" t="str">
            <v>Henderson 45</v>
          </cell>
        </row>
        <row r="48">
          <cell r="A48" t="str">
            <v>Martin County 117</v>
          </cell>
          <cell r="B48" t="str">
            <v>Hertford 46</v>
          </cell>
        </row>
        <row r="49">
          <cell r="A49" t="str">
            <v>McDowell County Transportation Planning Bd Inc. 111</v>
          </cell>
          <cell r="B49" t="str">
            <v>Hoke 47</v>
          </cell>
        </row>
        <row r="50">
          <cell r="A50" t="str">
            <v>Mecklenburg County 119</v>
          </cell>
          <cell r="B50" t="str">
            <v>Hyde 48</v>
          </cell>
        </row>
        <row r="51">
          <cell r="A51" t="str">
            <v>Mitchell County Transportation Authority 121</v>
          </cell>
          <cell r="B51" t="str">
            <v>Iredell 49</v>
          </cell>
        </row>
        <row r="52">
          <cell r="A52" t="str">
            <v>Moore County 125</v>
          </cell>
          <cell r="B52" t="str">
            <v>Jackson 50</v>
          </cell>
        </row>
        <row r="53">
          <cell r="A53" t="str">
            <v>Mountain Projects Inc. 087</v>
          </cell>
          <cell r="B53" t="str">
            <v>Johnston 51</v>
          </cell>
        </row>
        <row r="54">
          <cell r="A54" t="str">
            <v>Onslow United Transit System, Inc. 133</v>
          </cell>
          <cell r="B54" t="str">
            <v>Jones 52</v>
          </cell>
        </row>
        <row r="55">
          <cell r="A55" t="str">
            <v>Orange County 135</v>
          </cell>
          <cell r="B55" t="str">
            <v>Lee 53</v>
          </cell>
        </row>
        <row r="56">
          <cell r="A56" t="str">
            <v>Pender Adult Services Inc. 141</v>
          </cell>
          <cell r="B56" t="str">
            <v>Lenoir 54</v>
          </cell>
        </row>
        <row r="57">
          <cell r="A57" t="str">
            <v>Person County 145</v>
          </cell>
          <cell r="B57" t="str">
            <v>Lincoln 55</v>
          </cell>
        </row>
        <row r="58">
          <cell r="A58" t="str">
            <v>Pitt County/Pitt Area Transit System 147</v>
          </cell>
          <cell r="B58" t="str">
            <v>Macon 56</v>
          </cell>
        </row>
        <row r="59">
          <cell r="A59" t="str">
            <v>Polk County Transportation Authority 149</v>
          </cell>
          <cell r="B59" t="str">
            <v>Madison 57</v>
          </cell>
        </row>
        <row r="60">
          <cell r="A60" t="str">
            <v>Randolph County Senior Adults Assoc. Inc. 151</v>
          </cell>
          <cell r="B60" t="str">
            <v>Martin 58</v>
          </cell>
        </row>
        <row r="61">
          <cell r="A61" t="str">
            <v>Richmond Interagency Transportation, Inc. 153</v>
          </cell>
          <cell r="B61" t="str">
            <v>McDowell 59</v>
          </cell>
        </row>
        <row r="62">
          <cell r="A62" t="str">
            <v>Robeson County 155</v>
          </cell>
          <cell r="B62" t="str">
            <v>Mecklenburg 60</v>
          </cell>
        </row>
        <row r="63">
          <cell r="A63" t="str">
            <v>Rockingham County Council on Aging Inc. 157</v>
          </cell>
          <cell r="B63" t="str">
            <v>Mitchell 61</v>
          </cell>
        </row>
        <row r="64">
          <cell r="A64" t="str">
            <v>Rocky Mount- Tar River Transit Community Transportation 127</v>
          </cell>
          <cell r="B64" t="str">
            <v>Montgomery 62</v>
          </cell>
        </row>
        <row r="65">
          <cell r="A65" t="str">
            <v>Rowan County 159</v>
          </cell>
          <cell r="B65" t="str">
            <v>Moore 63</v>
          </cell>
        </row>
        <row r="66">
          <cell r="A66" t="str">
            <v>Rutherford County 161</v>
          </cell>
          <cell r="B66" t="str">
            <v>Nash 64</v>
          </cell>
        </row>
        <row r="67">
          <cell r="A67" t="str">
            <v>Sampson County 163</v>
          </cell>
          <cell r="B67" t="str">
            <v>New Hanover 65</v>
          </cell>
        </row>
        <row r="68">
          <cell r="A68" t="str">
            <v>Scotland County 165</v>
          </cell>
          <cell r="B68" t="str">
            <v>Northampton 66</v>
          </cell>
        </row>
        <row r="69">
          <cell r="A69" t="str">
            <v>Stanly County 167</v>
          </cell>
          <cell r="B69" t="str">
            <v>Onslow 67</v>
          </cell>
        </row>
        <row r="70">
          <cell r="A70" t="str">
            <v>Swain County Focal Point on Aging Inc. 173</v>
          </cell>
          <cell r="B70" t="str">
            <v>Orange 68</v>
          </cell>
        </row>
        <row r="71">
          <cell r="A71" t="str">
            <v>Transportation Administration of Cleveland County Inc. 045</v>
          </cell>
          <cell r="B71" t="str">
            <v>Pamlico 69</v>
          </cell>
        </row>
        <row r="72">
          <cell r="A72" t="str">
            <v>Transylvania County 175</v>
          </cell>
          <cell r="B72" t="str">
            <v>Pasquotank 70</v>
          </cell>
        </row>
        <row r="73">
          <cell r="A73" t="str">
            <v>Tyrrell County 177</v>
          </cell>
          <cell r="B73" t="str">
            <v>Pender 71</v>
          </cell>
        </row>
        <row r="74">
          <cell r="A74" t="str">
            <v>Union County 179</v>
          </cell>
          <cell r="B74" t="str">
            <v>Perquimans 72</v>
          </cell>
        </row>
        <row r="75">
          <cell r="A75" t="str">
            <v>Wake County 183</v>
          </cell>
          <cell r="B75" t="str">
            <v>Person 73</v>
          </cell>
        </row>
        <row r="76">
          <cell r="A76" t="str">
            <v>Washington County 187</v>
          </cell>
          <cell r="B76" t="str">
            <v>Pitt 74</v>
          </cell>
        </row>
        <row r="77">
          <cell r="A77" t="str">
            <v>Western Carolina Community Action Inc. 089</v>
          </cell>
          <cell r="B77" t="str">
            <v>Polk 75</v>
          </cell>
        </row>
        <row r="78">
          <cell r="A78" t="str">
            <v>Western Piedmont Regional Transportation Authority- Community Transportation 003</v>
          </cell>
          <cell r="B78" t="str">
            <v>Randolph 76</v>
          </cell>
        </row>
        <row r="79">
          <cell r="A79" t="str">
            <v>Wilkes Transportation Authority 193</v>
          </cell>
          <cell r="B79" t="str">
            <v>Richmond 77</v>
          </cell>
        </row>
        <row r="80">
          <cell r="A80" t="str">
            <v>Wilson City 196</v>
          </cell>
          <cell r="B80" t="str">
            <v>Robeson 78</v>
          </cell>
        </row>
        <row r="81">
          <cell r="A81" t="str">
            <v>Wilson County 195</v>
          </cell>
          <cell r="B81" t="str">
            <v>Rockingham 79</v>
          </cell>
        </row>
        <row r="82">
          <cell r="A82" t="str">
            <v>Yadkin Valley Economic Development District Inc. 171</v>
          </cell>
          <cell r="B82" t="str">
            <v>Rowan 80</v>
          </cell>
        </row>
        <row r="83">
          <cell r="A83" t="str">
            <v>Yancey County Transportation Authority  199</v>
          </cell>
          <cell r="B83" t="str">
            <v>Rutherford 81</v>
          </cell>
        </row>
        <row r="84">
          <cell r="A84" t="str">
            <v>ASHEVILLE 201</v>
          </cell>
          <cell r="B84" t="str">
            <v>Sampson 82</v>
          </cell>
        </row>
        <row r="85">
          <cell r="A85" t="str">
            <v>BURLINGTON 249</v>
          </cell>
          <cell r="B85" t="str">
            <v>Scotland 83</v>
          </cell>
        </row>
        <row r="86">
          <cell r="A86" t="str">
            <v>CARY 203</v>
          </cell>
          <cell r="B86" t="str">
            <v>Stanly 84</v>
          </cell>
        </row>
        <row r="87">
          <cell r="A87" t="str">
            <v>CHAPEL HILL 205</v>
          </cell>
          <cell r="B87" t="str">
            <v>Stokes 85</v>
          </cell>
        </row>
        <row r="88">
          <cell r="A88" t="str">
            <v>CHARLOTTE 207</v>
          </cell>
          <cell r="B88" t="str">
            <v>Surry 86</v>
          </cell>
        </row>
        <row r="89">
          <cell r="A89" t="str">
            <v>CONCORD/KANNAPOLIS 209</v>
          </cell>
          <cell r="B89" t="str">
            <v>Swain 87</v>
          </cell>
        </row>
        <row r="90">
          <cell r="A90" t="str">
            <v>DURHAM CITY- Urban 211</v>
          </cell>
          <cell r="B90" t="str">
            <v>Transylvania 88</v>
          </cell>
        </row>
        <row r="91">
          <cell r="A91" t="str">
            <v>FAYETTEVILLE 213</v>
          </cell>
          <cell r="B91" t="str">
            <v>Tyrrell 89</v>
          </cell>
        </row>
        <row r="92">
          <cell r="A92" t="str">
            <v>GASTONIA 215</v>
          </cell>
          <cell r="B92" t="str">
            <v>Union 90</v>
          </cell>
        </row>
        <row r="93">
          <cell r="A93" t="str">
            <v>GOLDSBORO WAYNE TRANSPORTATION AUTHORITY- Urban 217</v>
          </cell>
          <cell r="B93" t="str">
            <v>Vance 91</v>
          </cell>
        </row>
        <row r="94">
          <cell r="A94" t="str">
            <v>GREENSBORO 219</v>
          </cell>
          <cell r="B94" t="str">
            <v>Wake 92</v>
          </cell>
        </row>
        <row r="95">
          <cell r="A95" t="str">
            <v>GREENVILLE 221</v>
          </cell>
          <cell r="B95" t="str">
            <v>Warren 93</v>
          </cell>
        </row>
        <row r="96">
          <cell r="A96" t="str">
            <v>HENDERSON COUNTY- APPLE COUNTRY 223</v>
          </cell>
          <cell r="B96" t="str">
            <v>Washington 94</v>
          </cell>
        </row>
        <row r="97">
          <cell r="A97" t="str">
            <v>HIGH POINT 225</v>
          </cell>
          <cell r="B97" t="str">
            <v>Watauga 95</v>
          </cell>
        </row>
        <row r="98">
          <cell r="A98" t="str">
            <v>JACKSONVILLE 227</v>
          </cell>
          <cell r="B98" t="str">
            <v>Wayne 96</v>
          </cell>
        </row>
        <row r="99">
          <cell r="A99" t="str">
            <v>PIEDMONT AUTHORITY 229</v>
          </cell>
          <cell r="B99" t="str">
            <v>Western Piedmont Regional Transportation Authority- Community Transportation 003</v>
          </cell>
        </row>
        <row r="100">
          <cell r="A100" t="str">
            <v>RALEIGH - CAT 231</v>
          </cell>
          <cell r="B100" t="str">
            <v>Wilkes 97</v>
          </cell>
        </row>
        <row r="101">
          <cell r="A101" t="str">
            <v>RALEIGH - NCSU 233</v>
          </cell>
          <cell r="B101" t="str">
            <v>Wilkes Transportation Authority 193</v>
          </cell>
        </row>
        <row r="102">
          <cell r="A102" t="str">
            <v>ROCKY MOUNT- Tar River Transit Urban 235</v>
          </cell>
          <cell r="B102" t="str">
            <v>Wilson 98</v>
          </cell>
        </row>
        <row r="103">
          <cell r="A103" t="str">
            <v>SALISBURY 237</v>
          </cell>
          <cell r="B103" t="str">
            <v>Yadkin 99</v>
          </cell>
        </row>
        <row r="104">
          <cell r="A104" t="str">
            <v>TRIANGLE TRANSIT 239</v>
          </cell>
          <cell r="B104" t="str">
            <v>Yancey 00</v>
          </cell>
        </row>
        <row r="105">
          <cell r="A105" t="str">
            <v>WILMINGTON 241</v>
          </cell>
        </row>
        <row r="106">
          <cell r="A106" t="str">
            <v>WINSTON-SALEM 245</v>
          </cell>
        </row>
        <row r="107">
          <cell r="A107" t="str">
            <v>WESTERN PIEDMONT REGIONAL TRANSPORTATION AUTHORITY- Urban 247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pageSetUpPr fitToPage="1"/>
  </sheetPr>
  <dimension ref="A1:G42"/>
  <sheetViews>
    <sheetView showGridLines="0" tabSelected="1" zoomScaleNormal="100" workbookViewId="0">
      <selection activeCell="K15" sqref="K15"/>
    </sheetView>
  </sheetViews>
  <sheetFormatPr defaultColWidth="9.140625" defaultRowHeight="12.75" x14ac:dyDescent="0.2"/>
  <cols>
    <col min="1" max="1" width="4.7109375" style="102" customWidth="1"/>
    <col min="2" max="2" width="29.42578125" style="102" bestFit="1" customWidth="1"/>
    <col min="3" max="3" width="4.7109375" style="102" customWidth="1"/>
    <col min="4" max="4" width="23.28515625" style="102" customWidth="1"/>
    <col min="5" max="5" width="32.85546875" style="102" customWidth="1"/>
    <col min="6" max="6" width="4.7109375" style="102" customWidth="1"/>
    <col min="7" max="16384" width="9.140625" style="102"/>
  </cols>
  <sheetData>
    <row r="1" spans="1:7" s="97" customFormat="1" ht="15" customHeight="1" x14ac:dyDescent="0.2">
      <c r="A1" s="351" t="s">
        <v>7</v>
      </c>
      <c r="B1" s="352"/>
      <c r="C1" s="352"/>
      <c r="D1" s="352"/>
      <c r="E1" s="352"/>
      <c r="F1" s="353"/>
      <c r="G1" s="96"/>
    </row>
    <row r="2" spans="1:7" s="97" customFormat="1" ht="18" x14ac:dyDescent="0.2">
      <c r="A2" s="354" t="s">
        <v>6</v>
      </c>
      <c r="B2" s="355"/>
      <c r="C2" s="355"/>
      <c r="D2" s="355"/>
      <c r="E2" s="355"/>
      <c r="F2" s="356"/>
      <c r="G2" s="96"/>
    </row>
    <row r="3" spans="1:7" s="97" customFormat="1" ht="18" x14ac:dyDescent="0.2">
      <c r="A3" s="354" t="str">
        <f>"FY20"&amp;": July 1, 2019 - June 30, 2020"</f>
        <v>FY20: July 1, 2019 - June 30, 2020</v>
      </c>
      <c r="B3" s="355"/>
      <c r="C3" s="355"/>
      <c r="D3" s="355"/>
      <c r="E3" s="355"/>
      <c r="F3" s="356"/>
      <c r="G3" s="96"/>
    </row>
    <row r="4" spans="1:7" ht="10.5" customHeight="1" x14ac:dyDescent="0.2">
      <c r="A4" s="98"/>
      <c r="B4" s="99"/>
      <c r="C4" s="99"/>
      <c r="D4" s="99"/>
      <c r="E4" s="99"/>
      <c r="F4" s="100"/>
      <c r="G4" s="101"/>
    </row>
    <row r="5" spans="1:7" ht="12.75" customHeight="1" x14ac:dyDescent="0.2">
      <c r="A5" s="228">
        <v>1</v>
      </c>
      <c r="B5" s="227" t="s">
        <v>33</v>
      </c>
      <c r="C5" s="99"/>
      <c r="D5" s="357"/>
      <c r="E5" s="358"/>
      <c r="F5" s="100"/>
      <c r="G5" s="101"/>
    </row>
    <row r="6" spans="1:7" ht="8.25" customHeight="1" x14ac:dyDescent="0.2">
      <c r="A6" s="104"/>
      <c r="B6" s="101"/>
      <c r="C6" s="101"/>
      <c r="D6" s="101"/>
      <c r="E6" s="101"/>
      <c r="F6" s="105"/>
      <c r="G6" s="101"/>
    </row>
    <row r="7" spans="1:7" ht="12.75" customHeight="1" x14ac:dyDescent="0.2">
      <c r="A7" s="229">
        <f>A5+1</f>
        <v>2</v>
      </c>
      <c r="B7" s="227" t="s">
        <v>372</v>
      </c>
      <c r="C7" s="101"/>
      <c r="D7" s="348">
        <v>43830</v>
      </c>
      <c r="E7" s="106"/>
      <c r="F7" s="105"/>
      <c r="G7" s="101"/>
    </row>
    <row r="8" spans="1:7" ht="6" customHeight="1" x14ac:dyDescent="0.2">
      <c r="A8" s="104"/>
      <c r="B8" s="101"/>
      <c r="C8" s="101"/>
      <c r="D8" s="101"/>
      <c r="E8" s="101"/>
      <c r="F8" s="105"/>
      <c r="G8" s="101"/>
    </row>
    <row r="9" spans="1:7" ht="12.75" customHeight="1" x14ac:dyDescent="0.2">
      <c r="A9" s="229">
        <f>A7+1</f>
        <v>3</v>
      </c>
      <c r="B9" s="227" t="s">
        <v>4</v>
      </c>
      <c r="C9" s="101"/>
      <c r="D9" s="359"/>
      <c r="E9" s="360"/>
      <c r="F9" s="105"/>
      <c r="G9" s="101"/>
    </row>
    <row r="10" spans="1:7" ht="6" customHeight="1" x14ac:dyDescent="0.2">
      <c r="A10" s="104"/>
      <c r="B10" s="101"/>
      <c r="C10" s="101"/>
      <c r="D10" s="101"/>
      <c r="E10" s="101"/>
      <c r="F10" s="105"/>
      <c r="G10" s="101"/>
    </row>
    <row r="11" spans="1:7" ht="12.75" customHeight="1" x14ac:dyDescent="0.2">
      <c r="A11" s="229">
        <f>A9+1</f>
        <v>4</v>
      </c>
      <c r="B11" s="227" t="s">
        <v>10</v>
      </c>
      <c r="C11" s="107"/>
      <c r="D11" s="359"/>
      <c r="E11" s="360"/>
      <c r="F11" s="105"/>
      <c r="G11" s="101"/>
    </row>
    <row r="12" spans="1:7" ht="5.25" customHeight="1" x14ac:dyDescent="0.2">
      <c r="A12" s="104"/>
      <c r="B12" s="101"/>
      <c r="C12" s="101"/>
      <c r="D12" s="108"/>
      <c r="E12" s="106"/>
      <c r="F12" s="105"/>
      <c r="G12" s="101"/>
    </row>
    <row r="13" spans="1:7" ht="12.75" customHeight="1" x14ac:dyDescent="0.2">
      <c r="A13" s="229">
        <f>A11+1</f>
        <v>5</v>
      </c>
      <c r="B13" s="227" t="s">
        <v>21</v>
      </c>
      <c r="C13" s="101"/>
      <c r="D13" s="359"/>
      <c r="E13" s="360"/>
      <c r="F13" s="105"/>
      <c r="G13" s="101"/>
    </row>
    <row r="14" spans="1:7" ht="5.25" customHeight="1" x14ac:dyDescent="0.2">
      <c r="A14" s="104"/>
      <c r="B14" s="101"/>
      <c r="C14" s="101"/>
      <c r="D14" s="108"/>
      <c r="E14" s="106"/>
      <c r="F14" s="105"/>
      <c r="G14" s="101"/>
    </row>
    <row r="15" spans="1:7" ht="12.75" customHeight="1" x14ac:dyDescent="0.2">
      <c r="A15" s="229">
        <f>A13+1</f>
        <v>6</v>
      </c>
      <c r="B15" s="227" t="s">
        <v>34</v>
      </c>
      <c r="C15" s="101"/>
      <c r="D15" s="359"/>
      <c r="E15" s="360"/>
      <c r="F15" s="105"/>
      <c r="G15" s="101"/>
    </row>
    <row r="16" spans="1:7" ht="6" customHeight="1" x14ac:dyDescent="0.2">
      <c r="A16" s="109"/>
      <c r="B16" s="110"/>
      <c r="C16" s="101"/>
      <c r="D16" s="106"/>
      <c r="E16" s="106"/>
      <c r="F16" s="105"/>
      <c r="G16" s="101"/>
    </row>
    <row r="17" spans="1:7" ht="12.75" customHeight="1" x14ac:dyDescent="0.2">
      <c r="A17" s="229">
        <f>A15+1</f>
        <v>7</v>
      </c>
      <c r="B17" s="227" t="s">
        <v>10</v>
      </c>
      <c r="C17" s="107"/>
      <c r="D17" s="359"/>
      <c r="E17" s="360"/>
      <c r="F17" s="105"/>
      <c r="G17" s="101"/>
    </row>
    <row r="18" spans="1:7" s="112" customFormat="1" ht="9.75" customHeight="1" x14ac:dyDescent="0.2">
      <c r="A18" s="103"/>
      <c r="B18" s="110"/>
      <c r="C18" s="107"/>
      <c r="D18" s="106"/>
      <c r="E18" s="106"/>
      <c r="F18" s="111"/>
      <c r="G18" s="106"/>
    </row>
    <row r="19" spans="1:7" ht="17.25" customHeight="1" x14ac:dyDescent="0.2">
      <c r="A19" s="230">
        <f>A17+1</f>
        <v>8</v>
      </c>
      <c r="B19" s="361" t="s">
        <v>375</v>
      </c>
      <c r="C19" s="361"/>
      <c r="D19" s="361"/>
      <c r="E19" s="361"/>
      <c r="F19" s="362"/>
      <c r="G19" s="101"/>
    </row>
    <row r="20" spans="1:7" s="112" customFormat="1" ht="13.5" customHeight="1" x14ac:dyDescent="0.2">
      <c r="A20" s="113"/>
      <c r="B20" s="363">
        <f>D13</f>
        <v>0</v>
      </c>
      <c r="C20" s="363"/>
      <c r="D20" s="363"/>
      <c r="E20" s="363"/>
      <c r="F20" s="364"/>
      <c r="G20" s="106"/>
    </row>
    <row r="21" spans="1:7" s="112" customFormat="1" ht="13.5" customHeight="1" x14ac:dyDescent="0.2">
      <c r="A21" s="320"/>
      <c r="B21" s="365"/>
      <c r="C21" s="365"/>
      <c r="D21" s="365"/>
      <c r="E21" s="365"/>
      <c r="F21" s="366"/>
      <c r="G21" s="106"/>
    </row>
    <row r="22" spans="1:7" s="112" customFormat="1" ht="13.5" customHeight="1" x14ac:dyDescent="0.2">
      <c r="A22" s="320"/>
      <c r="B22" s="365"/>
      <c r="C22" s="365"/>
      <c r="D22" s="365"/>
      <c r="E22" s="365"/>
      <c r="F22" s="366"/>
      <c r="G22" s="106"/>
    </row>
    <row r="23" spans="1:7" s="112" customFormat="1" ht="13.5" customHeight="1" x14ac:dyDescent="0.2">
      <c r="A23" s="320"/>
      <c r="B23" s="365"/>
      <c r="C23" s="365"/>
      <c r="D23" s="365"/>
      <c r="E23" s="365"/>
      <c r="F23" s="366"/>
      <c r="G23" s="106"/>
    </row>
    <row r="24" spans="1:7" s="112" customFormat="1" ht="13.5" customHeight="1" x14ac:dyDescent="0.2">
      <c r="A24" s="320"/>
      <c r="B24" s="365"/>
      <c r="C24" s="365"/>
      <c r="D24" s="365"/>
      <c r="E24" s="365"/>
      <c r="F24" s="366"/>
      <c r="G24" s="106"/>
    </row>
    <row r="25" spans="1:7" s="112" customFormat="1" ht="13.5" customHeight="1" x14ac:dyDescent="0.2">
      <c r="A25" s="320"/>
      <c r="B25" s="365"/>
      <c r="C25" s="365"/>
      <c r="D25" s="365"/>
      <c r="E25" s="365"/>
      <c r="F25" s="366"/>
      <c r="G25" s="106"/>
    </row>
    <row r="26" spans="1:7" s="112" customFormat="1" ht="13.5" customHeight="1" x14ac:dyDescent="0.2">
      <c r="A26" s="320"/>
      <c r="B26" s="365"/>
      <c r="C26" s="365"/>
      <c r="D26" s="365"/>
      <c r="E26" s="365"/>
      <c r="F26" s="366"/>
      <c r="G26" s="106"/>
    </row>
    <row r="27" spans="1:7" s="112" customFormat="1" ht="13.5" customHeight="1" x14ac:dyDescent="0.2">
      <c r="A27" s="320"/>
      <c r="B27" s="365"/>
      <c r="C27" s="365"/>
      <c r="D27" s="365"/>
      <c r="E27" s="365"/>
      <c r="F27" s="366"/>
      <c r="G27" s="106"/>
    </row>
    <row r="28" spans="1:7" s="112" customFormat="1" ht="13.5" customHeight="1" x14ac:dyDescent="0.2">
      <c r="A28" s="320"/>
      <c r="B28" s="365"/>
      <c r="C28" s="365"/>
      <c r="D28" s="365"/>
      <c r="E28" s="365"/>
      <c r="F28" s="366"/>
      <c r="G28" s="106"/>
    </row>
    <row r="29" spans="1:7" s="112" customFormat="1" ht="13.5" customHeight="1" x14ac:dyDescent="0.2">
      <c r="A29" s="320"/>
      <c r="B29" s="365"/>
      <c r="C29" s="365"/>
      <c r="D29" s="365"/>
      <c r="E29" s="365"/>
      <c r="F29" s="366"/>
      <c r="G29" s="106"/>
    </row>
    <row r="30" spans="1:7" s="112" customFormat="1" ht="13.5" customHeight="1" x14ac:dyDescent="0.2">
      <c r="A30" s="320"/>
      <c r="B30" s="365"/>
      <c r="C30" s="365"/>
      <c r="D30" s="365"/>
      <c r="E30" s="365"/>
      <c r="F30" s="366"/>
      <c r="G30" s="106"/>
    </row>
    <row r="31" spans="1:7" s="112" customFormat="1" ht="13.5" customHeight="1" x14ac:dyDescent="0.2">
      <c r="A31" s="320"/>
      <c r="B31" s="365"/>
      <c r="C31" s="365"/>
      <c r="D31" s="365"/>
      <c r="E31" s="365"/>
      <c r="F31" s="366"/>
      <c r="G31" s="106"/>
    </row>
    <row r="32" spans="1:7" s="112" customFormat="1" ht="13.5" customHeight="1" x14ac:dyDescent="0.2">
      <c r="A32" s="320"/>
      <c r="B32" s="365"/>
      <c r="C32" s="365"/>
      <c r="D32" s="365"/>
      <c r="E32" s="365"/>
      <c r="F32" s="366"/>
      <c r="G32" s="106"/>
    </row>
    <row r="33" spans="1:7" s="112" customFormat="1" ht="13.5" customHeight="1" x14ac:dyDescent="0.2">
      <c r="A33" s="320"/>
      <c r="B33" s="365"/>
      <c r="C33" s="365"/>
      <c r="D33" s="365"/>
      <c r="E33" s="365"/>
      <c r="F33" s="366"/>
      <c r="G33" s="106"/>
    </row>
    <row r="34" spans="1:7" s="112" customFormat="1" ht="13.5" customHeight="1" x14ac:dyDescent="0.2">
      <c r="A34" s="320"/>
      <c r="B34" s="365"/>
      <c r="C34" s="365"/>
      <c r="D34" s="365"/>
      <c r="E34" s="365"/>
      <c r="F34" s="366"/>
      <c r="G34" s="106"/>
    </row>
    <row r="35" spans="1:7" ht="18.75" customHeight="1" x14ac:dyDescent="0.2">
      <c r="A35" s="230">
        <f>A19+1</f>
        <v>9</v>
      </c>
      <c r="B35" s="361" t="s">
        <v>262</v>
      </c>
      <c r="C35" s="361"/>
      <c r="D35" s="361"/>
      <c r="E35" s="361"/>
      <c r="F35" s="362"/>
      <c r="G35" s="101"/>
    </row>
    <row r="36" spans="1:7" s="112" customFormat="1" ht="13.5" customHeight="1" x14ac:dyDescent="0.2">
      <c r="A36" s="320"/>
      <c r="B36" s="365"/>
      <c r="C36" s="365"/>
      <c r="D36" s="365"/>
      <c r="E36" s="365"/>
      <c r="F36" s="366"/>
      <c r="G36" s="106"/>
    </row>
    <row r="37" spans="1:7" s="112" customFormat="1" ht="13.5" customHeight="1" x14ac:dyDescent="0.2">
      <c r="A37" s="320"/>
      <c r="B37" s="365"/>
      <c r="C37" s="365"/>
      <c r="D37" s="365"/>
      <c r="E37" s="365"/>
      <c r="F37" s="366"/>
      <c r="G37" s="106"/>
    </row>
    <row r="38" spans="1:7" s="112" customFormat="1" ht="13.5" customHeight="1" x14ac:dyDescent="0.2">
      <c r="A38" s="320"/>
      <c r="B38" s="365"/>
      <c r="C38" s="365"/>
      <c r="D38" s="365"/>
      <c r="E38" s="365"/>
      <c r="F38" s="366"/>
      <c r="G38" s="106"/>
    </row>
    <row r="39" spans="1:7" s="112" customFormat="1" ht="13.5" customHeight="1" x14ac:dyDescent="0.2">
      <c r="A39" s="320"/>
      <c r="B39" s="365"/>
      <c r="C39" s="365"/>
      <c r="D39" s="365"/>
      <c r="E39" s="365"/>
      <c r="F39" s="366"/>
      <c r="G39" s="106"/>
    </row>
    <row r="40" spans="1:7" s="112" customFormat="1" ht="13.5" customHeight="1" x14ac:dyDescent="0.2">
      <c r="A40" s="320"/>
      <c r="B40" s="365"/>
      <c r="C40" s="365"/>
      <c r="D40" s="365"/>
      <c r="E40" s="365"/>
      <c r="F40" s="366"/>
      <c r="G40" s="106"/>
    </row>
    <row r="41" spans="1:7" ht="9.75" customHeight="1" thickBot="1" x14ac:dyDescent="0.25">
      <c r="A41" s="367"/>
      <c r="B41" s="368"/>
      <c r="C41" s="368"/>
      <c r="D41" s="368"/>
      <c r="E41" s="368"/>
      <c r="F41" s="369"/>
    </row>
    <row r="42" spans="1:7" ht="10.5" customHeight="1" x14ac:dyDescent="0.2"/>
  </sheetData>
  <sheetProtection algorithmName="SHA-512" hashValue="dnULVAAOCGab0dWnb/juHozPduCTvB8gwBurfTbuwf9sLoFU9V0KaNlKv/g/5ncxUONiFjOWE+nU9k68f06l+Q==" saltValue="+4fhC+eloMeMotaReJOvtg==" spinCount="100000" sheet="1" objects="1" scenarios="1"/>
  <mergeCells count="32">
    <mergeCell ref="A41:F41"/>
    <mergeCell ref="B34:F34"/>
    <mergeCell ref="B35:F35"/>
    <mergeCell ref="B36:F36"/>
    <mergeCell ref="B37:F37"/>
    <mergeCell ref="B38:F38"/>
    <mergeCell ref="B39:F39"/>
    <mergeCell ref="B30:F30"/>
    <mergeCell ref="B31:F31"/>
    <mergeCell ref="B32:F32"/>
    <mergeCell ref="B33:F33"/>
    <mergeCell ref="B40:F40"/>
    <mergeCell ref="B25:F25"/>
    <mergeCell ref="B26:F26"/>
    <mergeCell ref="B27:F27"/>
    <mergeCell ref="B28:F28"/>
    <mergeCell ref="B29:F29"/>
    <mergeCell ref="B20:F20"/>
    <mergeCell ref="B21:F21"/>
    <mergeCell ref="B22:F22"/>
    <mergeCell ref="B23:F23"/>
    <mergeCell ref="B24:F24"/>
    <mergeCell ref="D11:E11"/>
    <mergeCell ref="D13:E13"/>
    <mergeCell ref="D15:E15"/>
    <mergeCell ref="D17:E17"/>
    <mergeCell ref="B19:F19"/>
    <mergeCell ref="A1:F1"/>
    <mergeCell ref="A2:F2"/>
    <mergeCell ref="A3:F3"/>
    <mergeCell ref="D5:E5"/>
    <mergeCell ref="D9:E9"/>
  </mergeCells>
  <dataValidations count="2">
    <dataValidation type="list" allowBlank="1" showInputMessage="1" showErrorMessage="1" sqref="D5:E5" xr:uid="{00000000-0002-0000-0000-000000000000}">
      <formula1>CountyNameList</formula1>
    </dataValidation>
    <dataValidation type="list" allowBlank="1" showInputMessage="1" showErrorMessage="1" sqref="D13:E13" xr:uid="{00000000-0002-0000-0000-000001000000}">
      <formula1>TransitSystemList</formula1>
    </dataValidation>
  </dataValidations>
  <pageMargins left="0.5" right="0.5" top="0.6" bottom="0.6" header="0.5" footer="0.5"/>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pageSetUpPr fitToPage="1"/>
  </sheetPr>
  <dimension ref="A1:W49"/>
  <sheetViews>
    <sheetView showGridLines="0" zoomScaleNormal="100" workbookViewId="0">
      <selection activeCell="E6" sqref="E6:H6"/>
    </sheetView>
  </sheetViews>
  <sheetFormatPr defaultColWidth="9.140625" defaultRowHeight="12.75" x14ac:dyDescent="0.2"/>
  <cols>
    <col min="1" max="1" width="4.7109375" style="19" customWidth="1"/>
    <col min="2" max="2" width="19.7109375" style="19" customWidth="1"/>
    <col min="3" max="3" width="15.7109375" style="19" customWidth="1"/>
    <col min="4" max="4" width="11.7109375" style="19" customWidth="1"/>
    <col min="5" max="5" width="12.7109375" style="19" customWidth="1"/>
    <col min="6" max="6" width="7.7109375" style="19" customWidth="1"/>
    <col min="7" max="7" width="4.7109375" style="19" customWidth="1"/>
    <col min="8" max="8" width="10.7109375" style="19" customWidth="1"/>
    <col min="9" max="9" width="9.7109375" style="19" customWidth="1"/>
    <col min="10" max="10" width="10.7109375" style="19" customWidth="1"/>
    <col min="11" max="11" width="11.7109375" style="19" customWidth="1"/>
    <col min="12" max="12" width="1.85546875" style="18" customWidth="1"/>
    <col min="13" max="13" width="4.7109375" style="19" customWidth="1"/>
    <col min="14" max="14" width="19.7109375" style="19" customWidth="1"/>
    <col min="15" max="15" width="15.7109375" style="19" customWidth="1"/>
    <col min="16" max="16" width="11.7109375" style="19" customWidth="1"/>
    <col min="17" max="17" width="12.7109375" style="19" customWidth="1"/>
    <col min="18" max="18" width="7.7109375" style="19" customWidth="1"/>
    <col min="19" max="19" width="4.7109375" style="19" customWidth="1"/>
    <col min="20" max="20" width="9.7109375" style="19" customWidth="1"/>
    <col min="21" max="21" width="10.7109375" style="19" customWidth="1"/>
    <col min="22" max="22" width="12" style="19" bestFit="1" customWidth="1"/>
    <col min="23" max="23" width="11.7109375" style="19" customWidth="1"/>
    <col min="24" max="16384" width="9.140625" style="19"/>
  </cols>
  <sheetData>
    <row r="1" spans="1:23" s="14" customFormat="1" ht="18" x14ac:dyDescent="0.25">
      <c r="A1" s="390" t="str">
        <f>LEFT(Overview!A3, 4) &amp; " Period 1 NCDOT ROAP Report"</f>
        <v>FY20 Period 1 NCDOT ROAP Report</v>
      </c>
      <c r="B1" s="391"/>
      <c r="C1" s="391"/>
      <c r="D1" s="391"/>
      <c r="E1" s="391"/>
      <c r="F1" s="391"/>
      <c r="G1" s="391"/>
      <c r="H1" s="391"/>
      <c r="I1" s="391"/>
      <c r="J1" s="391"/>
      <c r="K1" s="392"/>
      <c r="L1" s="13"/>
      <c r="M1" s="447" t="str">
        <f>LEFT(Overview!A3, 4) &amp; " Period 2 NCDOT ROAP Report"</f>
        <v>FY20 Period 2 NCDOT ROAP Report</v>
      </c>
      <c r="N1" s="448"/>
      <c r="O1" s="448"/>
      <c r="P1" s="448"/>
      <c r="Q1" s="448"/>
      <c r="R1" s="448"/>
      <c r="S1" s="448"/>
      <c r="T1" s="448"/>
      <c r="U1" s="448"/>
      <c r="V1" s="448"/>
      <c r="W1" s="449"/>
    </row>
    <row r="2" spans="1:23" s="14" customFormat="1" ht="15.75" x14ac:dyDescent="0.2">
      <c r="A2" s="400" t="s">
        <v>11</v>
      </c>
      <c r="B2" s="401"/>
      <c r="C2" s="401"/>
      <c r="D2" s="401"/>
      <c r="E2" s="401"/>
      <c r="F2" s="401"/>
      <c r="G2" s="401"/>
      <c r="H2" s="401"/>
      <c r="I2" s="401"/>
      <c r="J2" s="401"/>
      <c r="K2" s="402"/>
      <c r="L2" s="13"/>
      <c r="M2" s="450" t="s">
        <v>11</v>
      </c>
      <c r="N2" s="451"/>
      <c r="O2" s="451"/>
      <c r="P2" s="451"/>
      <c r="Q2" s="451"/>
      <c r="R2" s="451"/>
      <c r="S2" s="451"/>
      <c r="T2" s="451"/>
      <c r="U2" s="451"/>
      <c r="V2" s="451"/>
      <c r="W2" s="452"/>
    </row>
    <row r="3" spans="1:23" ht="9.75" customHeight="1" x14ac:dyDescent="0.2">
      <c r="A3" s="15"/>
      <c r="B3" s="16"/>
      <c r="C3" s="16"/>
      <c r="D3" s="16"/>
      <c r="E3" s="16"/>
      <c r="F3" s="16"/>
      <c r="G3" s="16"/>
      <c r="H3" s="16"/>
      <c r="I3" s="16"/>
      <c r="J3" s="16"/>
      <c r="K3" s="17"/>
      <c r="M3" s="15"/>
      <c r="N3" s="16"/>
      <c r="O3" s="16"/>
      <c r="P3" s="16"/>
      <c r="Q3" s="16"/>
      <c r="R3" s="16"/>
      <c r="S3" s="16"/>
      <c r="T3" s="16"/>
      <c r="U3" s="16"/>
      <c r="V3" s="16"/>
      <c r="W3" s="17"/>
    </row>
    <row r="4" spans="1:23" ht="12.75" customHeight="1" x14ac:dyDescent="0.2">
      <c r="A4" s="244">
        <f>Overview!A35+1</f>
        <v>10</v>
      </c>
      <c r="B4" s="393" t="s">
        <v>3</v>
      </c>
      <c r="C4" s="393"/>
      <c r="D4" s="20"/>
      <c r="E4" s="406">
        <f>Overview!D5</f>
        <v>0</v>
      </c>
      <c r="F4" s="407"/>
      <c r="G4" s="407"/>
      <c r="H4" s="407"/>
      <c r="I4" s="407"/>
      <c r="J4" s="408"/>
      <c r="K4" s="21"/>
      <c r="M4" s="242">
        <f>A4</f>
        <v>10</v>
      </c>
      <c r="N4" s="393" t="s">
        <v>3</v>
      </c>
      <c r="O4" s="393"/>
      <c r="P4" s="20"/>
      <c r="Q4" s="406">
        <f>E4</f>
        <v>0</v>
      </c>
      <c r="R4" s="407"/>
      <c r="S4" s="407"/>
      <c r="T4" s="407"/>
      <c r="U4" s="407"/>
      <c r="V4" s="408"/>
      <c r="W4" s="21"/>
    </row>
    <row r="5" spans="1:23" ht="8.25" customHeight="1" x14ac:dyDescent="0.2">
      <c r="A5" s="22"/>
      <c r="B5" s="23"/>
      <c r="C5" s="23"/>
      <c r="D5" s="23"/>
      <c r="E5" s="23"/>
      <c r="F5" s="23"/>
      <c r="G5" s="23"/>
      <c r="H5" s="23"/>
      <c r="I5" s="23"/>
      <c r="J5" s="23"/>
      <c r="K5" s="24"/>
      <c r="M5" s="22"/>
      <c r="N5" s="23"/>
      <c r="O5" s="23"/>
      <c r="P5" s="23"/>
      <c r="Q5" s="23"/>
      <c r="R5" s="23"/>
      <c r="S5" s="23"/>
      <c r="T5" s="23"/>
      <c r="U5" s="23"/>
      <c r="V5" s="23"/>
      <c r="W5" s="24"/>
    </row>
    <row r="6" spans="1:23" ht="12.75" customHeight="1" x14ac:dyDescent="0.2">
      <c r="A6" s="245">
        <f>A4+1</f>
        <v>11</v>
      </c>
      <c r="B6" s="393" t="s">
        <v>372</v>
      </c>
      <c r="C6" s="393"/>
      <c r="D6" s="4"/>
      <c r="E6" s="394">
        <f>Overview!D7</f>
        <v>43830</v>
      </c>
      <c r="F6" s="395"/>
      <c r="G6" s="395"/>
      <c r="H6" s="396"/>
      <c r="I6" s="23"/>
      <c r="J6" s="23"/>
      <c r="K6" s="24"/>
      <c r="M6" s="243">
        <f>A6</f>
        <v>11</v>
      </c>
      <c r="N6" s="393" t="s">
        <v>373</v>
      </c>
      <c r="O6" s="393"/>
      <c r="P6" s="4"/>
      <c r="Q6" s="394">
        <v>44012</v>
      </c>
      <c r="R6" s="395"/>
      <c r="S6" s="395"/>
      <c r="T6" s="396"/>
      <c r="U6" s="23"/>
      <c r="V6" s="23"/>
      <c r="W6" s="24"/>
    </row>
    <row r="7" spans="1:23" ht="12" customHeight="1" x14ac:dyDescent="0.2">
      <c r="A7" s="25"/>
      <c r="B7" s="26"/>
      <c r="C7" s="27"/>
      <c r="D7" s="27"/>
      <c r="E7" s="23"/>
      <c r="F7" s="23"/>
      <c r="G7" s="23"/>
      <c r="H7" s="23"/>
      <c r="I7" s="23"/>
      <c r="J7" s="23"/>
      <c r="K7" s="24"/>
      <c r="M7" s="25"/>
      <c r="N7" s="26"/>
      <c r="O7" s="27"/>
      <c r="P7" s="27"/>
      <c r="Q7" s="23"/>
      <c r="R7" s="23"/>
      <c r="S7" s="23"/>
      <c r="T7" s="23"/>
      <c r="U7" s="23"/>
      <c r="V7" s="23"/>
      <c r="W7" s="24"/>
    </row>
    <row r="8" spans="1:23" s="29" customFormat="1" ht="20.25" customHeight="1" x14ac:dyDescent="0.2">
      <c r="A8" s="397" t="s">
        <v>1</v>
      </c>
      <c r="B8" s="398"/>
      <c r="C8" s="398"/>
      <c r="D8" s="398"/>
      <c r="E8" s="398"/>
      <c r="F8" s="398"/>
      <c r="G8" s="398"/>
      <c r="H8" s="398"/>
      <c r="I8" s="398"/>
      <c r="J8" s="398"/>
      <c r="K8" s="399"/>
      <c r="L8" s="28"/>
      <c r="M8" s="453" t="s">
        <v>1</v>
      </c>
      <c r="N8" s="454"/>
      <c r="O8" s="454"/>
      <c r="P8" s="454"/>
      <c r="Q8" s="454"/>
      <c r="R8" s="454"/>
      <c r="S8" s="454"/>
      <c r="T8" s="454"/>
      <c r="U8" s="454"/>
      <c r="V8" s="454"/>
      <c r="W8" s="455"/>
    </row>
    <row r="9" spans="1:23" s="31" customFormat="1" ht="12" x14ac:dyDescent="0.15">
      <c r="A9" s="403">
        <f>A6+1</f>
        <v>12</v>
      </c>
      <c r="B9" s="404"/>
      <c r="C9" s="405"/>
      <c r="D9" s="240">
        <f>A9+1</f>
        <v>13</v>
      </c>
      <c r="E9" s="240">
        <f>D9+1</f>
        <v>14</v>
      </c>
      <c r="F9" s="456">
        <f>E9+1</f>
        <v>15</v>
      </c>
      <c r="G9" s="405"/>
      <c r="H9" s="240">
        <f>F9+1</f>
        <v>16</v>
      </c>
      <c r="I9" s="240">
        <f>H9+1</f>
        <v>17</v>
      </c>
      <c r="J9" s="240">
        <f>I9+1</f>
        <v>18</v>
      </c>
      <c r="K9" s="150"/>
      <c r="L9" s="30"/>
      <c r="M9" s="403">
        <f>A9</f>
        <v>12</v>
      </c>
      <c r="N9" s="404"/>
      <c r="O9" s="405"/>
      <c r="P9" s="240">
        <f>D9</f>
        <v>13</v>
      </c>
      <c r="Q9" s="240">
        <f>E9</f>
        <v>14</v>
      </c>
      <c r="R9" s="456">
        <f>F9</f>
        <v>15</v>
      </c>
      <c r="S9" s="405"/>
      <c r="T9" s="240">
        <f>H9</f>
        <v>16</v>
      </c>
      <c r="U9" s="240">
        <f>I9</f>
        <v>17</v>
      </c>
      <c r="V9" s="240">
        <f>J9</f>
        <v>18</v>
      </c>
      <c r="W9" s="150"/>
    </row>
    <row r="10" spans="1:23" s="34" customFormat="1" ht="60" customHeight="1" x14ac:dyDescent="0.2">
      <c r="A10" s="387" t="s">
        <v>327</v>
      </c>
      <c r="B10" s="388"/>
      <c r="C10" s="389"/>
      <c r="D10" s="206" t="s">
        <v>362</v>
      </c>
      <c r="E10" s="206" t="s">
        <v>363</v>
      </c>
      <c r="F10" s="462" t="s">
        <v>351</v>
      </c>
      <c r="G10" s="389"/>
      <c r="H10" s="206" t="s">
        <v>364</v>
      </c>
      <c r="I10" s="206" t="s">
        <v>365</v>
      </c>
      <c r="J10" s="206" t="s">
        <v>260</v>
      </c>
      <c r="K10" s="145"/>
      <c r="L10" s="33"/>
      <c r="M10" s="387" t="s">
        <v>327</v>
      </c>
      <c r="N10" s="388"/>
      <c r="O10" s="389"/>
      <c r="P10" s="206" t="s">
        <v>362</v>
      </c>
      <c r="Q10" s="206" t="s">
        <v>363</v>
      </c>
      <c r="R10" s="462" t="s">
        <v>351</v>
      </c>
      <c r="S10" s="389"/>
      <c r="T10" s="206" t="s">
        <v>364</v>
      </c>
      <c r="U10" s="206" t="s">
        <v>365</v>
      </c>
      <c r="V10" s="206" t="s">
        <v>260</v>
      </c>
      <c r="W10" s="145"/>
    </row>
    <row r="11" spans="1:23" ht="15" customHeight="1" x14ac:dyDescent="0.2">
      <c r="A11" s="459">
        <f>Overview!D13</f>
        <v>0</v>
      </c>
      <c r="B11" s="460"/>
      <c r="C11" s="461"/>
      <c r="D11" s="321"/>
      <c r="E11" s="92">
        <f>SUMIFS('Transfers log'!$G$6:$G$55,'Transfers log'!$E$6:$E$55,"EDTAP",'Transfers log'!$C$6:$C$55,"EMPL",'Transfers log'!$F$6:$F$55,EDTAP!A11,'Transfers log'!$A$6:$A$55,"Period 1")+SUMIFS('Transfers log'!$G$6:$G$55,'Transfers log'!$E$6:$E$55,"EDTAP",'Transfers log'!$C$6:$C$55,"EDTAP",'Transfers log'!$F$6:$F$55,EDTAP!A11,'Transfers log'!$A$6:$A$55,"Period 1")+SUMIFS('Transfers log'!$G$6:$G$55,'Transfers log'!$E$6:$E$55,"EDTAP",'Transfers log'!$C$6:$C$55,"RGP",'Transfers log'!$F$6:$F$55,EDTAP!A11,'Transfers log'!$A$6:$A$55,"Period 1")-SUMIFS('Transfers log'!$G$6:$G$55,'Transfers log'!$E$6:$E$55,"EDTAP",'Transfers log'!$C$6:$C$55,"EDTAP",'Transfers log'!$D$6:$D$55,EDTAP!A11,'Transfers log'!$A$6:$A$55,"Period 1")-(SUMIFS('Transfers log'!$G$6:$G$55,'Transfers log'!$C$6:$C$55,"EDTAP",'Transfers log'!$E$6:$E$55,"JARC",'Transfers log'!$D$6:$D$55,EDTAP!A11,'Transfers log'!$A$6:$A$55,"Period 1")+SUMIFS('Transfers log'!$G$6:$G$55,'Transfers log'!$C$6:$C$55,"EDTAP",'Transfers log'!$E$6:$E$55,"New Freedom",'Transfers log'!$D$6:$D$55,EDTAP!A11,'Transfers log'!$A$6:$A$55,"Period 1")+SUMIFS('Transfers log'!$G$6:$G$55,'Transfers log'!$C$6:$C$55,"EDTAP",'Transfers log'!$E$6:$E$55,"5311 funds",'Transfers log'!$D$6:$D$55,EDTAP!A11,'Transfers log'!$A$6:$A$55,"Period 1")+SUMIFS('Transfers log'!$G$6:$G$55,'Transfers log'!$C$6:$C$55,"EDTAP",'Transfers log'!$E$6:$E$55,"5307 funds",'Transfers log'!$D$6:$D$55,EDTAP!A11,'Transfers log'!$A$6:$A$55,"Period 1")+SUMIFS('Transfers log'!$G$6:$G$55,'Transfers log'!$C$6:$C$55,"EDTAP",'Transfers log'!$E$6:$E$55,"5310 funds",'Transfers log'!$D$6:$D$55,EDTAP!A11,'Transfers log'!$A$6:$A$55,"Period 1")+SUMIFS('Transfers log'!$G$6:$G$55,'Transfers log'!$C$6:$C$55,"EDTAP",'Transfers log'!$E$6:$E$55,"Rural State Operating",'Transfers log'!$D$6:$D$55,EDTAP!A11,'Transfers log'!$A$6:$A$55,"Period 1"))</f>
        <v>0</v>
      </c>
      <c r="F11" s="372"/>
      <c r="G11" s="373"/>
      <c r="H11" s="322"/>
      <c r="I11" s="238">
        <f>F11-H11</f>
        <v>0</v>
      </c>
      <c r="J11" s="321"/>
      <c r="K11" s="12"/>
      <c r="M11" s="459">
        <f>A11</f>
        <v>0</v>
      </c>
      <c r="N11" s="460"/>
      <c r="O11" s="461"/>
      <c r="P11" s="321"/>
      <c r="Q11" s="92">
        <f>SUMIFS('Transfers log'!$G$6:$G$55,'Transfers log'!$E$6:$E$55,"EDTAP",'Transfers log'!$C$6:$C$55,"EMPL",'Transfers log'!$F$6:$F$55,EDTAP!M11,'Transfers log'!$A$6:$A$55,"Period 2")+SUMIFS('Transfers log'!$G$6:$G$55,'Transfers log'!$E$6:$E$55,"EDTAP",'Transfers log'!$C$6:$C$55,"EDTAP",'Transfers log'!$F$6:$F$55,EDTAP!M11,'Transfers log'!$A$6:$A$55,"Period 2")+SUMIFS('Transfers log'!$G$6:$G$55,'Transfers log'!$E$6:$E$55,"EDTAP",'Transfers log'!$C$6:$C$55,"RGP",'Transfers log'!$F$6:$F$55,EDTAP!M11,'Transfers log'!$A$6:$A$55,"Period 2")-SUMIFS('Transfers log'!$G$6:$G$55,'Transfers log'!$E$6:$E$55,"EDTAP",'Transfers log'!$C$6:$C$55,"EDTAP",'Transfers log'!$D$6:$D$55,EDTAP!M11,'Transfers log'!$A$6:$A$55,"Period 2")-(SUMIFS('Transfers log'!$G$6:$G$55,'Transfers log'!$C$6:$C$55,"EDTAP",'Transfers log'!$E$6:$E$55,"JARC",'Transfers log'!$D$6:$D$55,EDTAP!M11,'Transfers log'!$A$6:$A$55,"Period 2")+SUMIFS('Transfers log'!$G$6:$G$55,'Transfers log'!$C$6:$C$55,"EDTAP",'Transfers log'!$E$6:$E$55,"New Freedom",'Transfers log'!$D$6:$D$55,EDTAP!M11,'Transfers log'!$A$6:$A$55,"Period 2")+SUMIFS('Transfers log'!$G$6:$G$55,'Transfers log'!$C$6:$C$55,"EDTAP",'Transfers log'!$E$6:$E$55,"5311 funds",'Transfers log'!$D$6:$D$55,EDTAP!M11,'Transfers log'!$A$6:$A$55,"Period 2")+SUMIFS('Transfers log'!$G$6:$G$55,'Transfers log'!$C$6:$C$55,"EDTAP",'Transfers log'!$E$6:$E$55,"5307 funds",'Transfers log'!$D$6:$D$55,EDTAP!M11,'Transfers log'!$A$6:$A$55,"Period 2")+SUMIFS('Transfers log'!$G$6:$G$55,'Transfers log'!$C$6:$C$55,"EDTAP",'Transfers log'!$E$6:$E$55,"5310 funds",'Transfers log'!$D$6:$D$55,EDTAP!M11,'Transfers log'!$A$6:$A$55,"Period 2")+SUMIFS('Transfers log'!$G$6:$G$55,'Transfers log'!$C$6:$C$55,"EDTAP",'Transfers log'!$E$6:$E$55,"Rural State Operating",'Transfers log'!$D$6:$D$55,EDTAP!M11,'Transfers log'!$A$6:$A$55,"Period 2"))</f>
        <v>0</v>
      </c>
      <c r="R11" s="372"/>
      <c r="S11" s="373"/>
      <c r="T11" s="322"/>
      <c r="U11" s="238">
        <f>R11-T11</f>
        <v>0</v>
      </c>
      <c r="V11" s="321"/>
      <c r="W11" s="12"/>
    </row>
    <row r="12" spans="1:23" ht="15" customHeight="1" x14ac:dyDescent="0.2">
      <c r="A12" s="374"/>
      <c r="B12" s="375"/>
      <c r="C12" s="376"/>
      <c r="D12" s="321"/>
      <c r="E12" s="92">
        <f>SUMIFS('Transfers log'!$G$6:$G$55,'Transfers log'!$E$6:$E$55,"EDTAP",'Transfers log'!$C$6:$C$55,"EMPL",'Transfers log'!$F$6:$F$55,EDTAP!A12,'Transfers log'!$A$6:$A$55,"Period 1")+SUMIFS('Transfers log'!$G$6:$G$55,'Transfers log'!$E$6:$E$55,"EDTAP",'Transfers log'!$C$6:$C$55,"EDTAP",'Transfers log'!$F$6:$F$55,EDTAP!A12,'Transfers log'!$A$6:$A$55,"Period 1")+SUMIFS('Transfers log'!$G$6:$G$55,'Transfers log'!$E$6:$E$55,"EDTAP",'Transfers log'!$C$6:$C$55,"RGP",'Transfers log'!$F$6:$F$55,EDTAP!A12,'Transfers log'!$A$6:$A$55,"Period 1")-SUMIFS('Transfers log'!$G$6:$G$55,'Transfers log'!$E$6:$E$55,"EDTAP",'Transfers log'!$C$6:$C$55,"EDTAP",'Transfers log'!$D$6:$D$55,EDTAP!A12,'Transfers log'!$A$6:$A$55,"Period 1")-(SUMIFS('Transfers log'!$G$6:$G$55,'Transfers log'!$C$6:$C$55,"EDTAP",'Transfers log'!$E$6:$E$55,"JARC",'Transfers log'!$D$6:$D$55,EDTAP!A12,'Transfers log'!$A$6:$A$55,"Period 1")+SUMIFS('Transfers log'!$G$6:$G$55,'Transfers log'!$C$6:$C$55,"EDTAP",'Transfers log'!$E$6:$E$55,"New Freedom",'Transfers log'!$D$6:$D$55,EDTAP!A12,'Transfers log'!$A$6:$A$55,"Period 1")+SUMIFS('Transfers log'!$G$6:$G$55,'Transfers log'!$C$6:$C$55,"EDTAP",'Transfers log'!$E$6:$E$55,"5311 funds",'Transfers log'!$D$6:$D$55,EDTAP!A12,'Transfers log'!$A$6:$A$55,"Period 1")+SUMIFS('Transfers log'!$G$6:$G$55,'Transfers log'!$C$6:$C$55,"EDTAP",'Transfers log'!$E$6:$E$55,"5307 funds",'Transfers log'!$D$6:$D$55,EDTAP!A12,'Transfers log'!$A$6:$A$55,"Period 1")+SUMIFS('Transfers log'!$G$6:$G$55,'Transfers log'!$C$6:$C$55,"EDTAP",'Transfers log'!$E$6:$E$55,"5310 funds",'Transfers log'!$D$6:$D$55,EDTAP!A12,'Transfers log'!$A$6:$A$55,"Period 1")+SUMIFS('Transfers log'!$G$6:$G$55,'Transfers log'!$C$6:$C$55,"EDTAP",'Transfers log'!$E$6:$E$55,"Rural State Operating",'Transfers log'!$D$6:$D$55,EDTAP!A12,'Transfers log'!$A$6:$A$55,"Period 1"))</f>
        <v>0</v>
      </c>
      <c r="F12" s="372"/>
      <c r="G12" s="373"/>
      <c r="H12" s="322"/>
      <c r="I12" s="238">
        <f t="shared" ref="I12:I25" si="0">F12-H12</f>
        <v>0</v>
      </c>
      <c r="J12" s="321"/>
      <c r="K12" s="12"/>
      <c r="M12" s="374"/>
      <c r="N12" s="375"/>
      <c r="O12" s="376"/>
      <c r="P12" s="321"/>
      <c r="Q12" s="92">
        <f>SUMIFS('Transfers log'!$G$6:$G$55,'Transfers log'!$E$6:$E$55,"EDTAP",'Transfers log'!$C$6:$C$55,"EMPL",'Transfers log'!$F$6:$F$55,EDTAP!M12,'Transfers log'!$A$6:$A$55,"Period 2")+SUMIFS('Transfers log'!$G$6:$G$55,'Transfers log'!$E$6:$E$55,"EDTAP",'Transfers log'!$C$6:$C$55,"EDTAP",'Transfers log'!$F$6:$F$55,EDTAP!M12,'Transfers log'!$A$6:$A$55,"Period 2")+SUMIFS('Transfers log'!$G$6:$G$55,'Transfers log'!$E$6:$E$55,"EDTAP",'Transfers log'!$C$6:$C$55,"RGP",'Transfers log'!$F$6:$F$55,EDTAP!M12,'Transfers log'!$A$6:$A$55,"Period 2")-SUMIFS('Transfers log'!$G$6:$G$55,'Transfers log'!$E$6:$E$55,"EDTAP",'Transfers log'!$C$6:$C$55,"EDTAP",'Transfers log'!$D$6:$D$55,EDTAP!M12,'Transfers log'!$A$6:$A$55,"Period 2")-(SUMIFS('Transfers log'!$G$6:$G$55,'Transfers log'!$C$6:$C$55,"EDTAP",'Transfers log'!$E$6:$E$55,"JARC",'Transfers log'!$D$6:$D$55,EDTAP!M12,'Transfers log'!$A$6:$A$55,"Period 2")+SUMIFS('Transfers log'!$G$6:$G$55,'Transfers log'!$C$6:$C$55,"EDTAP",'Transfers log'!$E$6:$E$55,"New Freedom",'Transfers log'!$D$6:$D$55,EDTAP!M12,'Transfers log'!$A$6:$A$55,"Period 2")+SUMIFS('Transfers log'!$G$6:$G$55,'Transfers log'!$C$6:$C$55,"EDTAP",'Transfers log'!$E$6:$E$55,"5311 funds",'Transfers log'!$D$6:$D$55,EDTAP!M12,'Transfers log'!$A$6:$A$55,"Period 2")+SUMIFS('Transfers log'!$G$6:$G$55,'Transfers log'!$C$6:$C$55,"EDTAP",'Transfers log'!$E$6:$E$55,"5307 funds",'Transfers log'!$D$6:$D$55,EDTAP!M12,'Transfers log'!$A$6:$A$55,"Period 2")+SUMIFS('Transfers log'!$G$6:$G$55,'Transfers log'!$C$6:$C$55,"EDTAP",'Transfers log'!$E$6:$E$55,"5310 funds",'Transfers log'!$D$6:$D$55,EDTAP!M12,'Transfers log'!$A$6:$A$55,"Period 2")+SUMIFS('Transfers log'!$G$6:$G$55,'Transfers log'!$C$6:$C$55,"EDTAP",'Transfers log'!$E$6:$E$55,"Rural State Operating",'Transfers log'!$D$6:$D$55,EDTAP!M12,'Transfers log'!$A$6:$A$55,"Period 2"))</f>
        <v>0</v>
      </c>
      <c r="R12" s="372"/>
      <c r="S12" s="373"/>
      <c r="T12" s="322"/>
      <c r="U12" s="238">
        <f t="shared" ref="U12:U25" si="1">R12-T12</f>
        <v>0</v>
      </c>
      <c r="V12" s="321"/>
      <c r="W12" s="12"/>
    </row>
    <row r="13" spans="1:23" ht="15" customHeight="1" x14ac:dyDescent="0.2">
      <c r="A13" s="374"/>
      <c r="B13" s="375"/>
      <c r="C13" s="376"/>
      <c r="D13" s="321"/>
      <c r="E13" s="92">
        <f>SUMIFS('Transfers log'!$G$6:$G$55,'Transfers log'!$E$6:$E$55,"EDTAP",'Transfers log'!$C$6:$C$55,"EMPL",'Transfers log'!$F$6:$F$55,EDTAP!A13,'Transfers log'!$A$6:$A$55,"Period 1")+SUMIFS('Transfers log'!$G$6:$G$55,'Transfers log'!$E$6:$E$55,"EDTAP",'Transfers log'!$C$6:$C$55,"EDTAP",'Transfers log'!$F$6:$F$55,EDTAP!A13,'Transfers log'!$A$6:$A$55,"Period 1")+SUMIFS('Transfers log'!$G$6:$G$55,'Transfers log'!$E$6:$E$55,"EDTAP",'Transfers log'!$C$6:$C$55,"RGP",'Transfers log'!$F$6:$F$55,EDTAP!A13,'Transfers log'!$A$6:$A$55,"Period 1")-SUMIFS('Transfers log'!$G$6:$G$55,'Transfers log'!$E$6:$E$55,"EDTAP",'Transfers log'!$C$6:$C$55,"EDTAP",'Transfers log'!$D$6:$D$55,EDTAP!A13,'Transfers log'!$A$6:$A$55,"Period 1")-(SUMIFS('Transfers log'!$G$6:$G$55,'Transfers log'!$C$6:$C$55,"EDTAP",'Transfers log'!$E$6:$E$55,"JARC",'Transfers log'!$D$6:$D$55,EDTAP!A13,'Transfers log'!$A$6:$A$55,"Period 1")+SUMIFS('Transfers log'!$G$6:$G$55,'Transfers log'!$C$6:$C$55,"EDTAP",'Transfers log'!$E$6:$E$55,"New Freedom",'Transfers log'!$D$6:$D$55,EDTAP!A13,'Transfers log'!$A$6:$A$55,"Period 1")+SUMIFS('Transfers log'!$G$6:$G$55,'Transfers log'!$C$6:$C$55,"EDTAP",'Transfers log'!$E$6:$E$55,"5311 funds",'Transfers log'!$D$6:$D$55,EDTAP!A13,'Transfers log'!$A$6:$A$55,"Period 1")+SUMIFS('Transfers log'!$G$6:$G$55,'Transfers log'!$C$6:$C$55,"EDTAP",'Transfers log'!$E$6:$E$55,"5307 funds",'Transfers log'!$D$6:$D$55,EDTAP!A13,'Transfers log'!$A$6:$A$55,"Period 1")+SUMIFS('Transfers log'!$G$6:$G$55,'Transfers log'!$C$6:$C$55,"EDTAP",'Transfers log'!$E$6:$E$55,"5310 funds",'Transfers log'!$D$6:$D$55,EDTAP!A13,'Transfers log'!$A$6:$A$55,"Period 1")+SUMIFS('Transfers log'!$G$6:$G$55,'Transfers log'!$C$6:$C$55,"EDTAP",'Transfers log'!$E$6:$E$55,"Rural State Operating",'Transfers log'!$D$6:$D$55,EDTAP!A13,'Transfers log'!$A$6:$A$55,"Period 1"))</f>
        <v>0</v>
      </c>
      <c r="F13" s="372"/>
      <c r="G13" s="373"/>
      <c r="H13" s="322"/>
      <c r="I13" s="238">
        <f t="shared" si="0"/>
        <v>0</v>
      </c>
      <c r="J13" s="321"/>
      <c r="K13" s="12"/>
      <c r="M13" s="374"/>
      <c r="N13" s="375"/>
      <c r="O13" s="376"/>
      <c r="P13" s="321"/>
      <c r="Q13" s="92">
        <f>SUMIFS('Transfers log'!$G$6:$G$55,'Transfers log'!$E$6:$E$55,"EDTAP",'Transfers log'!$C$6:$C$55,"EMPL",'Transfers log'!$F$6:$F$55,EDTAP!M13,'Transfers log'!$A$6:$A$55,"Period 2")+SUMIFS('Transfers log'!$G$6:$G$55,'Transfers log'!$E$6:$E$55,"EDTAP",'Transfers log'!$C$6:$C$55,"EDTAP",'Transfers log'!$F$6:$F$55,EDTAP!M13,'Transfers log'!$A$6:$A$55,"Period 2")+SUMIFS('Transfers log'!$G$6:$G$55,'Transfers log'!$E$6:$E$55,"EDTAP",'Transfers log'!$C$6:$C$55,"RGP",'Transfers log'!$F$6:$F$55,EDTAP!M13,'Transfers log'!$A$6:$A$55,"Period 2")-SUMIFS('Transfers log'!$G$6:$G$55,'Transfers log'!$E$6:$E$55,"EDTAP",'Transfers log'!$C$6:$C$55,"EDTAP",'Transfers log'!$D$6:$D$55,EDTAP!M13,'Transfers log'!$A$6:$A$55,"Period 2")-(SUMIFS('Transfers log'!$G$6:$G$55,'Transfers log'!$C$6:$C$55,"EDTAP",'Transfers log'!$E$6:$E$55,"JARC",'Transfers log'!$D$6:$D$55,EDTAP!M13,'Transfers log'!$A$6:$A$55,"Period 2")+SUMIFS('Transfers log'!$G$6:$G$55,'Transfers log'!$C$6:$C$55,"EDTAP",'Transfers log'!$E$6:$E$55,"New Freedom",'Transfers log'!$D$6:$D$55,EDTAP!M13,'Transfers log'!$A$6:$A$55,"Period 2")+SUMIFS('Transfers log'!$G$6:$G$55,'Transfers log'!$C$6:$C$55,"EDTAP",'Transfers log'!$E$6:$E$55,"5311 funds",'Transfers log'!$D$6:$D$55,EDTAP!M13,'Transfers log'!$A$6:$A$55,"Period 2")+SUMIFS('Transfers log'!$G$6:$G$55,'Transfers log'!$C$6:$C$55,"EDTAP",'Transfers log'!$E$6:$E$55,"5307 funds",'Transfers log'!$D$6:$D$55,EDTAP!M13,'Transfers log'!$A$6:$A$55,"Period 2")+SUMIFS('Transfers log'!$G$6:$G$55,'Transfers log'!$C$6:$C$55,"EDTAP",'Transfers log'!$E$6:$E$55,"5310 funds",'Transfers log'!$D$6:$D$55,EDTAP!M13,'Transfers log'!$A$6:$A$55,"Period 2")+SUMIFS('Transfers log'!$G$6:$G$55,'Transfers log'!$C$6:$C$55,"EDTAP",'Transfers log'!$E$6:$E$55,"Rural State Operating",'Transfers log'!$D$6:$D$55,EDTAP!M13,'Transfers log'!$A$6:$A$55,"Period 2"))</f>
        <v>0</v>
      </c>
      <c r="R13" s="372"/>
      <c r="S13" s="373"/>
      <c r="T13" s="322"/>
      <c r="U13" s="238">
        <f t="shared" si="1"/>
        <v>0</v>
      </c>
      <c r="V13" s="321"/>
      <c r="W13" s="12"/>
    </row>
    <row r="14" spans="1:23" ht="15" customHeight="1" x14ac:dyDescent="0.2">
      <c r="A14" s="374"/>
      <c r="B14" s="375"/>
      <c r="C14" s="376"/>
      <c r="D14" s="321"/>
      <c r="E14" s="92">
        <f>SUMIFS('Transfers log'!$G$6:$G$55,'Transfers log'!$E$6:$E$55,"EDTAP",'Transfers log'!$C$6:$C$55,"EMPL",'Transfers log'!$F$6:$F$55,EDTAP!A14,'Transfers log'!$A$6:$A$55,"Period 1")+SUMIFS('Transfers log'!$G$6:$G$55,'Transfers log'!$E$6:$E$55,"EDTAP",'Transfers log'!$C$6:$C$55,"EDTAP",'Transfers log'!$F$6:$F$55,EDTAP!A14,'Transfers log'!$A$6:$A$55,"Period 1")+SUMIFS('Transfers log'!$G$6:$G$55,'Transfers log'!$E$6:$E$55,"EDTAP",'Transfers log'!$C$6:$C$55,"RGP",'Transfers log'!$F$6:$F$55,EDTAP!A14,'Transfers log'!$A$6:$A$55,"Period 1")-SUMIFS('Transfers log'!$G$6:$G$55,'Transfers log'!$E$6:$E$55,"EDTAP",'Transfers log'!$C$6:$C$55,"EDTAP",'Transfers log'!$D$6:$D$55,EDTAP!A14,'Transfers log'!$A$6:$A$55,"Period 1")-(SUMIFS('Transfers log'!$G$6:$G$55,'Transfers log'!$C$6:$C$55,"EDTAP",'Transfers log'!$E$6:$E$55,"JARC",'Transfers log'!$D$6:$D$55,EDTAP!A14,'Transfers log'!$A$6:$A$55,"Period 1")+SUMIFS('Transfers log'!$G$6:$G$55,'Transfers log'!$C$6:$C$55,"EDTAP",'Transfers log'!$E$6:$E$55,"New Freedom",'Transfers log'!$D$6:$D$55,EDTAP!A14,'Transfers log'!$A$6:$A$55,"Period 1")+SUMIFS('Transfers log'!$G$6:$G$55,'Transfers log'!$C$6:$C$55,"EDTAP",'Transfers log'!$E$6:$E$55,"5311 funds",'Transfers log'!$D$6:$D$55,EDTAP!A14,'Transfers log'!$A$6:$A$55,"Period 1")+SUMIFS('Transfers log'!$G$6:$G$55,'Transfers log'!$C$6:$C$55,"EDTAP",'Transfers log'!$E$6:$E$55,"5307 funds",'Transfers log'!$D$6:$D$55,EDTAP!A14,'Transfers log'!$A$6:$A$55,"Period 1")+SUMIFS('Transfers log'!$G$6:$G$55,'Transfers log'!$C$6:$C$55,"EDTAP",'Transfers log'!$E$6:$E$55,"5310 funds",'Transfers log'!$D$6:$D$55,EDTAP!A14,'Transfers log'!$A$6:$A$55,"Period 1")+SUMIFS('Transfers log'!$G$6:$G$55,'Transfers log'!$C$6:$C$55,"EDTAP",'Transfers log'!$E$6:$E$55,"Rural State Operating",'Transfers log'!$D$6:$D$55,EDTAP!A14,'Transfers log'!$A$6:$A$55,"Period 1"))</f>
        <v>0</v>
      </c>
      <c r="F14" s="372"/>
      <c r="G14" s="373"/>
      <c r="H14" s="322"/>
      <c r="I14" s="238">
        <f t="shared" si="0"/>
        <v>0</v>
      </c>
      <c r="J14" s="321"/>
      <c r="K14" s="12"/>
      <c r="M14" s="374"/>
      <c r="N14" s="375"/>
      <c r="O14" s="376"/>
      <c r="P14" s="321"/>
      <c r="Q14" s="92">
        <f>SUMIFS('Transfers log'!$G$6:$G$55,'Transfers log'!$E$6:$E$55,"EDTAP",'Transfers log'!$C$6:$C$55,"EMPL",'Transfers log'!$F$6:$F$55,EDTAP!M14,'Transfers log'!$A$6:$A$55,"Period 2")+SUMIFS('Transfers log'!$G$6:$G$55,'Transfers log'!$E$6:$E$55,"EDTAP",'Transfers log'!$C$6:$C$55,"EDTAP",'Transfers log'!$F$6:$F$55,EDTAP!M14,'Transfers log'!$A$6:$A$55,"Period 2")+SUMIFS('Transfers log'!$G$6:$G$55,'Transfers log'!$E$6:$E$55,"EDTAP",'Transfers log'!$C$6:$C$55,"RGP",'Transfers log'!$F$6:$F$55,EDTAP!M14,'Transfers log'!$A$6:$A$55,"Period 2")-SUMIFS('Transfers log'!$G$6:$G$55,'Transfers log'!$E$6:$E$55,"EDTAP",'Transfers log'!$C$6:$C$55,"EDTAP",'Transfers log'!$D$6:$D$55,EDTAP!M14,'Transfers log'!$A$6:$A$55,"Period 2")-(SUMIFS('Transfers log'!$G$6:$G$55,'Transfers log'!$C$6:$C$55,"EDTAP",'Transfers log'!$E$6:$E$55,"JARC",'Transfers log'!$D$6:$D$55,EDTAP!M14,'Transfers log'!$A$6:$A$55,"Period 2")+SUMIFS('Transfers log'!$G$6:$G$55,'Transfers log'!$C$6:$C$55,"EDTAP",'Transfers log'!$E$6:$E$55,"New Freedom",'Transfers log'!$D$6:$D$55,EDTAP!M14,'Transfers log'!$A$6:$A$55,"Period 2")+SUMIFS('Transfers log'!$G$6:$G$55,'Transfers log'!$C$6:$C$55,"EDTAP",'Transfers log'!$E$6:$E$55,"5311 funds",'Transfers log'!$D$6:$D$55,EDTAP!M14,'Transfers log'!$A$6:$A$55,"Period 2")+SUMIFS('Transfers log'!$G$6:$G$55,'Transfers log'!$C$6:$C$55,"EDTAP",'Transfers log'!$E$6:$E$55,"5307 funds",'Transfers log'!$D$6:$D$55,EDTAP!M14,'Transfers log'!$A$6:$A$55,"Period 2")+SUMIFS('Transfers log'!$G$6:$G$55,'Transfers log'!$C$6:$C$55,"EDTAP",'Transfers log'!$E$6:$E$55,"5310 funds",'Transfers log'!$D$6:$D$55,EDTAP!M14,'Transfers log'!$A$6:$A$55,"Period 2")+SUMIFS('Transfers log'!$G$6:$G$55,'Transfers log'!$C$6:$C$55,"EDTAP",'Transfers log'!$E$6:$E$55,"Rural State Operating",'Transfers log'!$D$6:$D$55,EDTAP!M14,'Transfers log'!$A$6:$A$55,"Period 2"))</f>
        <v>0</v>
      </c>
      <c r="R14" s="372"/>
      <c r="S14" s="373"/>
      <c r="T14" s="322"/>
      <c r="U14" s="238">
        <f t="shared" si="1"/>
        <v>0</v>
      </c>
      <c r="V14" s="321"/>
      <c r="W14" s="12"/>
    </row>
    <row r="15" spans="1:23" ht="15" customHeight="1" x14ac:dyDescent="0.2">
      <c r="A15" s="374"/>
      <c r="B15" s="375"/>
      <c r="C15" s="376"/>
      <c r="D15" s="321"/>
      <c r="E15" s="92">
        <f>SUMIFS('Transfers log'!$G$6:$G$55,'Transfers log'!$E$6:$E$55,"EDTAP",'Transfers log'!$C$6:$C$55,"EMPL",'Transfers log'!$F$6:$F$55,EDTAP!A15,'Transfers log'!$A$6:$A$55,"Period 1")+SUMIFS('Transfers log'!$G$6:$G$55,'Transfers log'!$E$6:$E$55,"EDTAP",'Transfers log'!$C$6:$C$55,"EDTAP",'Transfers log'!$F$6:$F$55,EDTAP!A15,'Transfers log'!$A$6:$A$55,"Period 1")+SUMIFS('Transfers log'!$G$6:$G$55,'Transfers log'!$E$6:$E$55,"EDTAP",'Transfers log'!$C$6:$C$55,"RGP",'Transfers log'!$F$6:$F$55,EDTAP!A15,'Transfers log'!$A$6:$A$55,"Period 1")-SUMIFS('Transfers log'!$G$6:$G$55,'Transfers log'!$E$6:$E$55,"EDTAP",'Transfers log'!$C$6:$C$55,"EDTAP",'Transfers log'!$D$6:$D$55,EDTAP!A15,'Transfers log'!$A$6:$A$55,"Period 1")-(SUMIFS('Transfers log'!$G$6:$G$55,'Transfers log'!$C$6:$C$55,"EDTAP",'Transfers log'!$E$6:$E$55,"JARC",'Transfers log'!$D$6:$D$55,EDTAP!A15,'Transfers log'!$A$6:$A$55,"Period 1")+SUMIFS('Transfers log'!$G$6:$G$55,'Transfers log'!$C$6:$C$55,"EDTAP",'Transfers log'!$E$6:$E$55,"New Freedom",'Transfers log'!$D$6:$D$55,EDTAP!A15,'Transfers log'!$A$6:$A$55,"Period 1")+SUMIFS('Transfers log'!$G$6:$G$55,'Transfers log'!$C$6:$C$55,"EDTAP",'Transfers log'!$E$6:$E$55,"5311 funds",'Transfers log'!$D$6:$D$55,EDTAP!A15,'Transfers log'!$A$6:$A$55,"Period 1")+SUMIFS('Transfers log'!$G$6:$G$55,'Transfers log'!$C$6:$C$55,"EDTAP",'Transfers log'!$E$6:$E$55,"5307 funds",'Transfers log'!$D$6:$D$55,EDTAP!A15,'Transfers log'!$A$6:$A$55,"Period 1")+SUMIFS('Transfers log'!$G$6:$G$55,'Transfers log'!$C$6:$C$55,"EDTAP",'Transfers log'!$E$6:$E$55,"5310 funds",'Transfers log'!$D$6:$D$55,EDTAP!A15,'Transfers log'!$A$6:$A$55,"Period 1")+SUMIFS('Transfers log'!$G$6:$G$55,'Transfers log'!$C$6:$C$55,"EDTAP",'Transfers log'!$E$6:$E$55,"Rural State Operating",'Transfers log'!$D$6:$D$55,EDTAP!A15,'Transfers log'!$A$6:$A$55,"Period 1"))</f>
        <v>0</v>
      </c>
      <c r="F15" s="372"/>
      <c r="G15" s="373"/>
      <c r="H15" s="322"/>
      <c r="I15" s="238">
        <f t="shared" si="0"/>
        <v>0</v>
      </c>
      <c r="J15" s="321"/>
      <c r="K15" s="12"/>
      <c r="M15" s="374"/>
      <c r="N15" s="375"/>
      <c r="O15" s="376"/>
      <c r="P15" s="321"/>
      <c r="Q15" s="92">
        <f>SUMIFS('Transfers log'!$G$6:$G$55,'Transfers log'!$E$6:$E$55,"EDTAP",'Transfers log'!$C$6:$C$55,"EMPL",'Transfers log'!$F$6:$F$55,EDTAP!M15,'Transfers log'!$A$6:$A$55,"Period 2")+SUMIFS('Transfers log'!$G$6:$G$55,'Transfers log'!$E$6:$E$55,"EDTAP",'Transfers log'!$C$6:$C$55,"EDTAP",'Transfers log'!$F$6:$F$55,EDTAP!M15,'Transfers log'!$A$6:$A$55,"Period 2")+SUMIFS('Transfers log'!$G$6:$G$55,'Transfers log'!$E$6:$E$55,"EDTAP",'Transfers log'!$C$6:$C$55,"RGP",'Transfers log'!$F$6:$F$55,EDTAP!M15,'Transfers log'!$A$6:$A$55,"Period 2")-SUMIFS('Transfers log'!$G$6:$G$55,'Transfers log'!$E$6:$E$55,"EDTAP",'Transfers log'!$C$6:$C$55,"EDTAP",'Transfers log'!$D$6:$D$55,EDTAP!M15,'Transfers log'!$A$6:$A$55,"Period 2")-(SUMIFS('Transfers log'!$G$6:$G$55,'Transfers log'!$C$6:$C$55,"EDTAP",'Transfers log'!$E$6:$E$55,"JARC",'Transfers log'!$D$6:$D$55,EDTAP!M15,'Transfers log'!$A$6:$A$55,"Period 2")+SUMIFS('Transfers log'!$G$6:$G$55,'Transfers log'!$C$6:$C$55,"EDTAP",'Transfers log'!$E$6:$E$55,"New Freedom",'Transfers log'!$D$6:$D$55,EDTAP!M15,'Transfers log'!$A$6:$A$55,"Period 2")+SUMIFS('Transfers log'!$G$6:$G$55,'Transfers log'!$C$6:$C$55,"EDTAP",'Transfers log'!$E$6:$E$55,"5311 funds",'Transfers log'!$D$6:$D$55,EDTAP!M15,'Transfers log'!$A$6:$A$55,"Period 2")+SUMIFS('Transfers log'!$G$6:$G$55,'Transfers log'!$C$6:$C$55,"EDTAP",'Transfers log'!$E$6:$E$55,"5307 funds",'Transfers log'!$D$6:$D$55,EDTAP!M15,'Transfers log'!$A$6:$A$55,"Period 2")+SUMIFS('Transfers log'!$G$6:$G$55,'Transfers log'!$C$6:$C$55,"EDTAP",'Transfers log'!$E$6:$E$55,"5310 funds",'Transfers log'!$D$6:$D$55,EDTAP!M15,'Transfers log'!$A$6:$A$55,"Period 2")+SUMIFS('Transfers log'!$G$6:$G$55,'Transfers log'!$C$6:$C$55,"EDTAP",'Transfers log'!$E$6:$E$55,"Rural State Operating",'Transfers log'!$D$6:$D$55,EDTAP!M15,'Transfers log'!$A$6:$A$55,"Period 2"))</f>
        <v>0</v>
      </c>
      <c r="R15" s="372"/>
      <c r="S15" s="373"/>
      <c r="T15" s="322"/>
      <c r="U15" s="238">
        <f t="shared" si="1"/>
        <v>0</v>
      </c>
      <c r="V15" s="321"/>
      <c r="W15" s="12"/>
    </row>
    <row r="16" spans="1:23" ht="15" customHeight="1" x14ac:dyDescent="0.2">
      <c r="A16" s="374"/>
      <c r="B16" s="375"/>
      <c r="C16" s="376"/>
      <c r="D16" s="321"/>
      <c r="E16" s="92">
        <f>SUMIFS('Transfers log'!$G$6:$G$55,'Transfers log'!$E$6:$E$55,"EDTAP",'Transfers log'!$C$6:$C$55,"EMPL",'Transfers log'!$F$6:$F$55,EDTAP!A16,'Transfers log'!$A$6:$A$55,"Period 1")+SUMIFS('Transfers log'!$G$6:$G$55,'Transfers log'!$E$6:$E$55,"EDTAP",'Transfers log'!$C$6:$C$55,"EDTAP",'Transfers log'!$F$6:$F$55,EDTAP!A16,'Transfers log'!$A$6:$A$55,"Period 1")+SUMIFS('Transfers log'!$G$6:$G$55,'Transfers log'!$E$6:$E$55,"EDTAP",'Transfers log'!$C$6:$C$55,"RGP",'Transfers log'!$F$6:$F$55,EDTAP!A16,'Transfers log'!$A$6:$A$55,"Period 1")-SUMIFS('Transfers log'!$G$6:$G$55,'Transfers log'!$E$6:$E$55,"EDTAP",'Transfers log'!$C$6:$C$55,"EDTAP",'Transfers log'!$D$6:$D$55,EDTAP!A16,'Transfers log'!$A$6:$A$55,"Period 1")-(SUMIFS('Transfers log'!$G$6:$G$55,'Transfers log'!$C$6:$C$55,"EDTAP",'Transfers log'!$E$6:$E$55,"JARC",'Transfers log'!$D$6:$D$55,EDTAP!A16,'Transfers log'!$A$6:$A$55,"Period 1")+SUMIFS('Transfers log'!$G$6:$G$55,'Transfers log'!$C$6:$C$55,"EDTAP",'Transfers log'!$E$6:$E$55,"New Freedom",'Transfers log'!$D$6:$D$55,EDTAP!A16,'Transfers log'!$A$6:$A$55,"Period 1")+SUMIFS('Transfers log'!$G$6:$G$55,'Transfers log'!$C$6:$C$55,"EDTAP",'Transfers log'!$E$6:$E$55,"5311 funds",'Transfers log'!$D$6:$D$55,EDTAP!A16,'Transfers log'!$A$6:$A$55,"Period 1")+SUMIFS('Transfers log'!$G$6:$G$55,'Transfers log'!$C$6:$C$55,"EDTAP",'Transfers log'!$E$6:$E$55,"5307 funds",'Transfers log'!$D$6:$D$55,EDTAP!A16,'Transfers log'!$A$6:$A$55,"Period 1")+SUMIFS('Transfers log'!$G$6:$G$55,'Transfers log'!$C$6:$C$55,"EDTAP",'Transfers log'!$E$6:$E$55,"5310 funds",'Transfers log'!$D$6:$D$55,EDTAP!A16,'Transfers log'!$A$6:$A$55,"Period 1")+SUMIFS('Transfers log'!$G$6:$G$55,'Transfers log'!$C$6:$C$55,"EDTAP",'Transfers log'!$E$6:$E$55,"Rural State Operating",'Transfers log'!$D$6:$D$55,EDTAP!A16,'Transfers log'!$A$6:$A$55,"Period 1"))</f>
        <v>0</v>
      </c>
      <c r="F16" s="372"/>
      <c r="G16" s="373"/>
      <c r="H16" s="322"/>
      <c r="I16" s="238">
        <f t="shared" si="0"/>
        <v>0</v>
      </c>
      <c r="J16" s="321"/>
      <c r="K16" s="12"/>
      <c r="M16" s="374"/>
      <c r="N16" s="375"/>
      <c r="O16" s="376"/>
      <c r="P16" s="321"/>
      <c r="Q16" s="92">
        <f>SUMIFS('Transfers log'!$G$6:$G$55,'Transfers log'!$E$6:$E$55,"EDTAP",'Transfers log'!$C$6:$C$55,"EMPL",'Transfers log'!$F$6:$F$55,EDTAP!M16,'Transfers log'!$A$6:$A$55,"Period 2")+SUMIFS('Transfers log'!$G$6:$G$55,'Transfers log'!$E$6:$E$55,"EDTAP",'Transfers log'!$C$6:$C$55,"EDTAP",'Transfers log'!$F$6:$F$55,EDTAP!M16,'Transfers log'!$A$6:$A$55,"Period 2")+SUMIFS('Transfers log'!$G$6:$G$55,'Transfers log'!$E$6:$E$55,"EDTAP",'Transfers log'!$C$6:$C$55,"RGP",'Transfers log'!$F$6:$F$55,EDTAP!M16,'Transfers log'!$A$6:$A$55,"Period 2")-SUMIFS('Transfers log'!$G$6:$G$55,'Transfers log'!$E$6:$E$55,"EDTAP",'Transfers log'!$C$6:$C$55,"EDTAP",'Transfers log'!$D$6:$D$55,EDTAP!M16,'Transfers log'!$A$6:$A$55,"Period 2")-(SUMIFS('Transfers log'!$G$6:$G$55,'Transfers log'!$C$6:$C$55,"EDTAP",'Transfers log'!$E$6:$E$55,"JARC",'Transfers log'!$D$6:$D$55,EDTAP!M16,'Transfers log'!$A$6:$A$55,"Period 2")+SUMIFS('Transfers log'!$G$6:$G$55,'Transfers log'!$C$6:$C$55,"EDTAP",'Transfers log'!$E$6:$E$55,"New Freedom",'Transfers log'!$D$6:$D$55,EDTAP!M16,'Transfers log'!$A$6:$A$55,"Period 2")+SUMIFS('Transfers log'!$G$6:$G$55,'Transfers log'!$C$6:$C$55,"EDTAP",'Transfers log'!$E$6:$E$55,"5311 funds",'Transfers log'!$D$6:$D$55,EDTAP!M16,'Transfers log'!$A$6:$A$55,"Period 2")+SUMIFS('Transfers log'!$G$6:$G$55,'Transfers log'!$C$6:$C$55,"EDTAP",'Transfers log'!$E$6:$E$55,"5307 funds",'Transfers log'!$D$6:$D$55,EDTAP!M16,'Transfers log'!$A$6:$A$55,"Period 2")+SUMIFS('Transfers log'!$G$6:$G$55,'Transfers log'!$C$6:$C$55,"EDTAP",'Transfers log'!$E$6:$E$55,"5310 funds",'Transfers log'!$D$6:$D$55,EDTAP!M16,'Transfers log'!$A$6:$A$55,"Period 2")+SUMIFS('Transfers log'!$G$6:$G$55,'Transfers log'!$C$6:$C$55,"EDTAP",'Transfers log'!$E$6:$E$55,"Rural State Operating",'Transfers log'!$D$6:$D$55,EDTAP!M16,'Transfers log'!$A$6:$A$55,"Period 2"))</f>
        <v>0</v>
      </c>
      <c r="R16" s="372"/>
      <c r="S16" s="373"/>
      <c r="T16" s="322"/>
      <c r="U16" s="238">
        <f t="shared" si="1"/>
        <v>0</v>
      </c>
      <c r="V16" s="321"/>
      <c r="W16" s="12"/>
    </row>
    <row r="17" spans="1:23" ht="15" customHeight="1" x14ac:dyDescent="0.2">
      <c r="A17" s="374"/>
      <c r="B17" s="375"/>
      <c r="C17" s="376"/>
      <c r="D17" s="321"/>
      <c r="E17" s="92">
        <f>SUMIFS('Transfers log'!$G$6:$G$55,'Transfers log'!$E$6:$E$55,"EDTAP",'Transfers log'!$C$6:$C$55,"EMPL",'Transfers log'!$F$6:$F$55,EDTAP!A17,'Transfers log'!$A$6:$A$55,"Period 1")+SUMIFS('Transfers log'!$G$6:$G$55,'Transfers log'!$E$6:$E$55,"EDTAP",'Transfers log'!$C$6:$C$55,"EDTAP",'Transfers log'!$F$6:$F$55,EDTAP!A17,'Transfers log'!$A$6:$A$55,"Period 1")+SUMIFS('Transfers log'!$G$6:$G$55,'Transfers log'!$E$6:$E$55,"EDTAP",'Transfers log'!$C$6:$C$55,"RGP",'Transfers log'!$F$6:$F$55,EDTAP!A17,'Transfers log'!$A$6:$A$55,"Period 1")-SUMIFS('Transfers log'!$G$6:$G$55,'Transfers log'!$E$6:$E$55,"EDTAP",'Transfers log'!$C$6:$C$55,"EDTAP",'Transfers log'!$D$6:$D$55,EDTAP!A17,'Transfers log'!$A$6:$A$55,"Period 1")-(SUMIFS('Transfers log'!$G$6:$G$55,'Transfers log'!$C$6:$C$55,"EDTAP",'Transfers log'!$E$6:$E$55,"JARC",'Transfers log'!$D$6:$D$55,EDTAP!A17,'Transfers log'!$A$6:$A$55,"Period 1")+SUMIFS('Transfers log'!$G$6:$G$55,'Transfers log'!$C$6:$C$55,"EDTAP",'Transfers log'!$E$6:$E$55,"New Freedom",'Transfers log'!$D$6:$D$55,EDTAP!A17,'Transfers log'!$A$6:$A$55,"Period 1")+SUMIFS('Transfers log'!$G$6:$G$55,'Transfers log'!$C$6:$C$55,"EDTAP",'Transfers log'!$E$6:$E$55,"5311 funds",'Transfers log'!$D$6:$D$55,EDTAP!A17,'Transfers log'!$A$6:$A$55,"Period 1")+SUMIFS('Transfers log'!$G$6:$G$55,'Transfers log'!$C$6:$C$55,"EDTAP",'Transfers log'!$E$6:$E$55,"5307 funds",'Transfers log'!$D$6:$D$55,EDTAP!A17,'Transfers log'!$A$6:$A$55,"Period 1")+SUMIFS('Transfers log'!$G$6:$G$55,'Transfers log'!$C$6:$C$55,"EDTAP",'Transfers log'!$E$6:$E$55,"5310 funds",'Transfers log'!$D$6:$D$55,EDTAP!A17,'Transfers log'!$A$6:$A$55,"Period 1")+SUMIFS('Transfers log'!$G$6:$G$55,'Transfers log'!$C$6:$C$55,"EDTAP",'Transfers log'!$E$6:$E$55,"Rural State Operating",'Transfers log'!$D$6:$D$55,EDTAP!A17,'Transfers log'!$A$6:$A$55,"Period 1"))</f>
        <v>0</v>
      </c>
      <c r="F17" s="372"/>
      <c r="G17" s="373"/>
      <c r="H17" s="322"/>
      <c r="I17" s="238">
        <f t="shared" si="0"/>
        <v>0</v>
      </c>
      <c r="J17" s="321"/>
      <c r="K17" s="12"/>
      <c r="M17" s="374"/>
      <c r="N17" s="375"/>
      <c r="O17" s="376"/>
      <c r="P17" s="321"/>
      <c r="Q17" s="92">
        <f>SUMIFS('Transfers log'!$G$6:$G$55,'Transfers log'!$E$6:$E$55,"EDTAP",'Transfers log'!$C$6:$C$55,"EMPL",'Transfers log'!$F$6:$F$55,EDTAP!M17,'Transfers log'!$A$6:$A$55,"Period 2")+SUMIFS('Transfers log'!$G$6:$G$55,'Transfers log'!$E$6:$E$55,"EDTAP",'Transfers log'!$C$6:$C$55,"EDTAP",'Transfers log'!$F$6:$F$55,EDTAP!M17,'Transfers log'!$A$6:$A$55,"Period 2")+SUMIFS('Transfers log'!$G$6:$G$55,'Transfers log'!$E$6:$E$55,"EDTAP",'Transfers log'!$C$6:$C$55,"RGP",'Transfers log'!$F$6:$F$55,EDTAP!M17,'Transfers log'!$A$6:$A$55,"Period 2")-SUMIFS('Transfers log'!$G$6:$G$55,'Transfers log'!$E$6:$E$55,"EDTAP",'Transfers log'!$C$6:$C$55,"EDTAP",'Transfers log'!$D$6:$D$55,EDTAP!M17,'Transfers log'!$A$6:$A$55,"Period 2")-(SUMIFS('Transfers log'!$G$6:$G$55,'Transfers log'!$C$6:$C$55,"EDTAP",'Transfers log'!$E$6:$E$55,"JARC",'Transfers log'!$D$6:$D$55,EDTAP!M17,'Transfers log'!$A$6:$A$55,"Period 2")+SUMIFS('Transfers log'!$G$6:$G$55,'Transfers log'!$C$6:$C$55,"EDTAP",'Transfers log'!$E$6:$E$55,"New Freedom",'Transfers log'!$D$6:$D$55,EDTAP!M17,'Transfers log'!$A$6:$A$55,"Period 2")+SUMIFS('Transfers log'!$G$6:$G$55,'Transfers log'!$C$6:$C$55,"EDTAP",'Transfers log'!$E$6:$E$55,"5311 funds",'Transfers log'!$D$6:$D$55,EDTAP!M17,'Transfers log'!$A$6:$A$55,"Period 2")+SUMIFS('Transfers log'!$G$6:$G$55,'Transfers log'!$C$6:$C$55,"EDTAP",'Transfers log'!$E$6:$E$55,"5307 funds",'Transfers log'!$D$6:$D$55,EDTAP!M17,'Transfers log'!$A$6:$A$55,"Period 2")+SUMIFS('Transfers log'!$G$6:$G$55,'Transfers log'!$C$6:$C$55,"EDTAP",'Transfers log'!$E$6:$E$55,"5310 funds",'Transfers log'!$D$6:$D$55,EDTAP!M17,'Transfers log'!$A$6:$A$55,"Period 2")+SUMIFS('Transfers log'!$G$6:$G$55,'Transfers log'!$C$6:$C$55,"EDTAP",'Transfers log'!$E$6:$E$55,"Rural State Operating",'Transfers log'!$D$6:$D$55,EDTAP!M17,'Transfers log'!$A$6:$A$55,"Period 2"))</f>
        <v>0</v>
      </c>
      <c r="R17" s="372"/>
      <c r="S17" s="373"/>
      <c r="T17" s="322"/>
      <c r="U17" s="238">
        <f t="shared" si="1"/>
        <v>0</v>
      </c>
      <c r="V17" s="321"/>
      <c r="W17" s="12"/>
    </row>
    <row r="18" spans="1:23" ht="15" customHeight="1" x14ac:dyDescent="0.2">
      <c r="A18" s="374"/>
      <c r="B18" s="375"/>
      <c r="C18" s="376"/>
      <c r="D18" s="321"/>
      <c r="E18" s="92">
        <f>SUMIFS('Transfers log'!$G$6:$G$55,'Transfers log'!$E$6:$E$55,"EDTAP",'Transfers log'!$C$6:$C$55,"EMPL",'Transfers log'!$F$6:$F$55,EDTAP!A18,'Transfers log'!$A$6:$A$55,"Period 1")+SUMIFS('Transfers log'!$G$6:$G$55,'Transfers log'!$E$6:$E$55,"EDTAP",'Transfers log'!$C$6:$C$55,"EDTAP",'Transfers log'!$F$6:$F$55,EDTAP!A18,'Transfers log'!$A$6:$A$55,"Period 1")+SUMIFS('Transfers log'!$G$6:$G$55,'Transfers log'!$E$6:$E$55,"EDTAP",'Transfers log'!$C$6:$C$55,"RGP",'Transfers log'!$F$6:$F$55,EDTAP!A18,'Transfers log'!$A$6:$A$55,"Period 1")-SUMIFS('Transfers log'!$G$6:$G$55,'Transfers log'!$E$6:$E$55,"EDTAP",'Transfers log'!$C$6:$C$55,"EDTAP",'Transfers log'!$D$6:$D$55,EDTAP!A18,'Transfers log'!$A$6:$A$55,"Period 1")-(SUMIFS('Transfers log'!$G$6:$G$55,'Transfers log'!$C$6:$C$55,"EDTAP",'Transfers log'!$E$6:$E$55,"JARC",'Transfers log'!$D$6:$D$55,EDTAP!A18,'Transfers log'!$A$6:$A$55,"Period 1")+SUMIFS('Transfers log'!$G$6:$G$55,'Transfers log'!$C$6:$C$55,"EDTAP",'Transfers log'!$E$6:$E$55,"New Freedom",'Transfers log'!$D$6:$D$55,EDTAP!A18,'Transfers log'!$A$6:$A$55,"Period 1")+SUMIFS('Transfers log'!$G$6:$G$55,'Transfers log'!$C$6:$C$55,"EDTAP",'Transfers log'!$E$6:$E$55,"5311 funds",'Transfers log'!$D$6:$D$55,EDTAP!A18,'Transfers log'!$A$6:$A$55,"Period 1")+SUMIFS('Transfers log'!$G$6:$G$55,'Transfers log'!$C$6:$C$55,"EDTAP",'Transfers log'!$E$6:$E$55,"5307 funds",'Transfers log'!$D$6:$D$55,EDTAP!A18,'Transfers log'!$A$6:$A$55,"Period 1")+SUMIFS('Transfers log'!$G$6:$G$55,'Transfers log'!$C$6:$C$55,"EDTAP",'Transfers log'!$E$6:$E$55,"5310 funds",'Transfers log'!$D$6:$D$55,EDTAP!A18,'Transfers log'!$A$6:$A$55,"Period 1")+SUMIFS('Transfers log'!$G$6:$G$55,'Transfers log'!$C$6:$C$55,"EDTAP",'Transfers log'!$E$6:$E$55,"Rural State Operating",'Transfers log'!$D$6:$D$55,EDTAP!A18,'Transfers log'!$A$6:$A$55,"Period 1"))</f>
        <v>0</v>
      </c>
      <c r="F18" s="372"/>
      <c r="G18" s="373"/>
      <c r="H18" s="322"/>
      <c r="I18" s="238">
        <f t="shared" si="0"/>
        <v>0</v>
      </c>
      <c r="J18" s="321"/>
      <c r="K18" s="12"/>
      <c r="M18" s="374"/>
      <c r="N18" s="375"/>
      <c r="O18" s="376"/>
      <c r="P18" s="321"/>
      <c r="Q18" s="92">
        <f>SUMIFS('Transfers log'!$G$6:$G$55,'Transfers log'!$E$6:$E$55,"EDTAP",'Transfers log'!$C$6:$C$55,"EMPL",'Transfers log'!$F$6:$F$55,EDTAP!M18,'Transfers log'!$A$6:$A$55,"Period 2")+SUMIFS('Transfers log'!$G$6:$G$55,'Transfers log'!$E$6:$E$55,"EDTAP",'Transfers log'!$C$6:$C$55,"EDTAP",'Transfers log'!$F$6:$F$55,EDTAP!M18,'Transfers log'!$A$6:$A$55,"Period 2")+SUMIFS('Transfers log'!$G$6:$G$55,'Transfers log'!$E$6:$E$55,"EDTAP",'Transfers log'!$C$6:$C$55,"RGP",'Transfers log'!$F$6:$F$55,EDTAP!M18,'Transfers log'!$A$6:$A$55,"Period 2")-SUMIFS('Transfers log'!$G$6:$G$55,'Transfers log'!$E$6:$E$55,"EDTAP",'Transfers log'!$C$6:$C$55,"EDTAP",'Transfers log'!$D$6:$D$55,EDTAP!M18,'Transfers log'!$A$6:$A$55,"Period 2")-(SUMIFS('Transfers log'!$G$6:$G$55,'Transfers log'!$C$6:$C$55,"EDTAP",'Transfers log'!$E$6:$E$55,"JARC",'Transfers log'!$D$6:$D$55,EDTAP!M18,'Transfers log'!$A$6:$A$55,"Period 2")+SUMIFS('Transfers log'!$G$6:$G$55,'Transfers log'!$C$6:$C$55,"EDTAP",'Transfers log'!$E$6:$E$55,"New Freedom",'Transfers log'!$D$6:$D$55,EDTAP!M18,'Transfers log'!$A$6:$A$55,"Period 2")+SUMIFS('Transfers log'!$G$6:$G$55,'Transfers log'!$C$6:$C$55,"EDTAP",'Transfers log'!$E$6:$E$55,"5311 funds",'Transfers log'!$D$6:$D$55,EDTAP!M18,'Transfers log'!$A$6:$A$55,"Period 2")+SUMIFS('Transfers log'!$G$6:$G$55,'Transfers log'!$C$6:$C$55,"EDTAP",'Transfers log'!$E$6:$E$55,"5307 funds",'Transfers log'!$D$6:$D$55,EDTAP!M18,'Transfers log'!$A$6:$A$55,"Period 2")+SUMIFS('Transfers log'!$G$6:$G$55,'Transfers log'!$C$6:$C$55,"EDTAP",'Transfers log'!$E$6:$E$55,"5310 funds",'Transfers log'!$D$6:$D$55,EDTAP!M18,'Transfers log'!$A$6:$A$55,"Period 2")+SUMIFS('Transfers log'!$G$6:$G$55,'Transfers log'!$C$6:$C$55,"EDTAP",'Transfers log'!$E$6:$E$55,"Rural State Operating",'Transfers log'!$D$6:$D$55,EDTAP!M18,'Transfers log'!$A$6:$A$55,"Period 2"))</f>
        <v>0</v>
      </c>
      <c r="R18" s="372"/>
      <c r="S18" s="373"/>
      <c r="T18" s="322"/>
      <c r="U18" s="238">
        <f t="shared" si="1"/>
        <v>0</v>
      </c>
      <c r="V18" s="321"/>
      <c r="W18" s="12"/>
    </row>
    <row r="19" spans="1:23" ht="15" customHeight="1" x14ac:dyDescent="0.2">
      <c r="A19" s="374"/>
      <c r="B19" s="375"/>
      <c r="C19" s="376"/>
      <c r="D19" s="321"/>
      <c r="E19" s="92">
        <f>SUMIFS('Transfers log'!$G$6:$G$55,'Transfers log'!$E$6:$E$55,"EDTAP",'Transfers log'!$C$6:$C$55,"EMPL",'Transfers log'!$F$6:$F$55,EDTAP!A19,'Transfers log'!$A$6:$A$55,"Period 1")+SUMIFS('Transfers log'!$G$6:$G$55,'Transfers log'!$E$6:$E$55,"EDTAP",'Transfers log'!$C$6:$C$55,"EDTAP",'Transfers log'!$F$6:$F$55,EDTAP!A19,'Transfers log'!$A$6:$A$55,"Period 1")+SUMIFS('Transfers log'!$G$6:$G$55,'Transfers log'!$E$6:$E$55,"EDTAP",'Transfers log'!$C$6:$C$55,"RGP",'Transfers log'!$F$6:$F$55,EDTAP!A19,'Transfers log'!$A$6:$A$55,"Period 1")-SUMIFS('Transfers log'!$G$6:$G$55,'Transfers log'!$E$6:$E$55,"EDTAP",'Transfers log'!$C$6:$C$55,"EDTAP",'Transfers log'!$D$6:$D$55,EDTAP!A19,'Transfers log'!$A$6:$A$55,"Period 1")-(SUMIFS('Transfers log'!$G$6:$G$55,'Transfers log'!$C$6:$C$55,"EDTAP",'Transfers log'!$E$6:$E$55,"JARC",'Transfers log'!$D$6:$D$55,EDTAP!A19,'Transfers log'!$A$6:$A$55,"Period 1")+SUMIFS('Transfers log'!$G$6:$G$55,'Transfers log'!$C$6:$C$55,"EDTAP",'Transfers log'!$E$6:$E$55,"New Freedom",'Transfers log'!$D$6:$D$55,EDTAP!A19,'Transfers log'!$A$6:$A$55,"Period 1")+SUMIFS('Transfers log'!$G$6:$G$55,'Transfers log'!$C$6:$C$55,"EDTAP",'Transfers log'!$E$6:$E$55,"5311 funds",'Transfers log'!$D$6:$D$55,EDTAP!A19,'Transfers log'!$A$6:$A$55,"Period 1")+SUMIFS('Transfers log'!$G$6:$G$55,'Transfers log'!$C$6:$C$55,"EDTAP",'Transfers log'!$E$6:$E$55,"5307 funds",'Transfers log'!$D$6:$D$55,EDTAP!A19,'Transfers log'!$A$6:$A$55,"Period 1")+SUMIFS('Transfers log'!$G$6:$G$55,'Transfers log'!$C$6:$C$55,"EDTAP",'Transfers log'!$E$6:$E$55,"5310 funds",'Transfers log'!$D$6:$D$55,EDTAP!A19,'Transfers log'!$A$6:$A$55,"Period 1")+SUMIFS('Transfers log'!$G$6:$G$55,'Transfers log'!$C$6:$C$55,"EDTAP",'Transfers log'!$E$6:$E$55,"Rural State Operating",'Transfers log'!$D$6:$D$55,EDTAP!A19,'Transfers log'!$A$6:$A$55,"Period 1"))</f>
        <v>0</v>
      </c>
      <c r="F19" s="372"/>
      <c r="G19" s="373"/>
      <c r="H19" s="322"/>
      <c r="I19" s="238">
        <f t="shared" si="0"/>
        <v>0</v>
      </c>
      <c r="J19" s="321"/>
      <c r="K19" s="12"/>
      <c r="M19" s="374"/>
      <c r="N19" s="375"/>
      <c r="O19" s="376"/>
      <c r="P19" s="321"/>
      <c r="Q19" s="92">
        <f>SUMIFS('Transfers log'!$G$6:$G$55,'Transfers log'!$E$6:$E$55,"EDTAP",'Transfers log'!$C$6:$C$55,"EMPL",'Transfers log'!$F$6:$F$55,EDTAP!M19,'Transfers log'!$A$6:$A$55,"Period 2")+SUMIFS('Transfers log'!$G$6:$G$55,'Transfers log'!$E$6:$E$55,"EDTAP",'Transfers log'!$C$6:$C$55,"EDTAP",'Transfers log'!$F$6:$F$55,EDTAP!M19,'Transfers log'!$A$6:$A$55,"Period 2")+SUMIFS('Transfers log'!$G$6:$G$55,'Transfers log'!$E$6:$E$55,"EDTAP",'Transfers log'!$C$6:$C$55,"RGP",'Transfers log'!$F$6:$F$55,EDTAP!M19,'Transfers log'!$A$6:$A$55,"Period 2")-SUMIFS('Transfers log'!$G$6:$G$55,'Transfers log'!$E$6:$E$55,"EDTAP",'Transfers log'!$C$6:$C$55,"EDTAP",'Transfers log'!$D$6:$D$55,EDTAP!M19,'Transfers log'!$A$6:$A$55,"Period 2")-(SUMIFS('Transfers log'!$G$6:$G$55,'Transfers log'!$C$6:$C$55,"EDTAP",'Transfers log'!$E$6:$E$55,"JARC",'Transfers log'!$D$6:$D$55,EDTAP!M19,'Transfers log'!$A$6:$A$55,"Period 2")+SUMIFS('Transfers log'!$G$6:$G$55,'Transfers log'!$C$6:$C$55,"EDTAP",'Transfers log'!$E$6:$E$55,"New Freedom",'Transfers log'!$D$6:$D$55,EDTAP!M19,'Transfers log'!$A$6:$A$55,"Period 2")+SUMIFS('Transfers log'!$G$6:$G$55,'Transfers log'!$C$6:$C$55,"EDTAP",'Transfers log'!$E$6:$E$55,"5311 funds",'Transfers log'!$D$6:$D$55,EDTAP!M19,'Transfers log'!$A$6:$A$55,"Period 2")+SUMIFS('Transfers log'!$G$6:$G$55,'Transfers log'!$C$6:$C$55,"EDTAP",'Transfers log'!$E$6:$E$55,"5307 funds",'Transfers log'!$D$6:$D$55,EDTAP!M19,'Transfers log'!$A$6:$A$55,"Period 2")+SUMIFS('Transfers log'!$G$6:$G$55,'Transfers log'!$C$6:$C$55,"EDTAP",'Transfers log'!$E$6:$E$55,"5310 funds",'Transfers log'!$D$6:$D$55,EDTAP!M19,'Transfers log'!$A$6:$A$55,"Period 2")+SUMIFS('Transfers log'!$G$6:$G$55,'Transfers log'!$C$6:$C$55,"EDTAP",'Transfers log'!$E$6:$E$55,"Rural State Operating",'Transfers log'!$D$6:$D$55,EDTAP!M19,'Transfers log'!$A$6:$A$55,"Period 2"))</f>
        <v>0</v>
      </c>
      <c r="R19" s="372"/>
      <c r="S19" s="373"/>
      <c r="T19" s="322"/>
      <c r="U19" s="238">
        <f t="shared" si="1"/>
        <v>0</v>
      </c>
      <c r="V19" s="321"/>
      <c r="W19" s="12"/>
    </row>
    <row r="20" spans="1:23" ht="15" customHeight="1" x14ac:dyDescent="0.2">
      <c r="A20" s="374"/>
      <c r="B20" s="375"/>
      <c r="C20" s="376"/>
      <c r="D20" s="321"/>
      <c r="E20" s="92">
        <f>SUMIFS('Transfers log'!$G$6:$G$55,'Transfers log'!$E$6:$E$55,"EDTAP",'Transfers log'!$C$6:$C$55,"EMPL",'Transfers log'!$F$6:$F$55,EDTAP!A20,'Transfers log'!$A$6:$A$55,"Period 1")+SUMIFS('Transfers log'!$G$6:$G$55,'Transfers log'!$E$6:$E$55,"EDTAP",'Transfers log'!$C$6:$C$55,"EDTAP",'Transfers log'!$F$6:$F$55,EDTAP!A20,'Transfers log'!$A$6:$A$55,"Period 1")+SUMIFS('Transfers log'!$G$6:$G$55,'Transfers log'!$E$6:$E$55,"EDTAP",'Transfers log'!$C$6:$C$55,"RGP",'Transfers log'!$F$6:$F$55,EDTAP!A20,'Transfers log'!$A$6:$A$55,"Period 1")-SUMIFS('Transfers log'!$G$6:$G$55,'Transfers log'!$E$6:$E$55,"EDTAP",'Transfers log'!$C$6:$C$55,"EDTAP",'Transfers log'!$D$6:$D$55,EDTAP!A20,'Transfers log'!$A$6:$A$55,"Period 1")-(SUMIFS('Transfers log'!$G$6:$G$55,'Transfers log'!$C$6:$C$55,"EDTAP",'Transfers log'!$E$6:$E$55,"JARC",'Transfers log'!$D$6:$D$55,EDTAP!A20,'Transfers log'!$A$6:$A$55,"Period 1")+SUMIFS('Transfers log'!$G$6:$G$55,'Transfers log'!$C$6:$C$55,"EDTAP",'Transfers log'!$E$6:$E$55,"New Freedom",'Transfers log'!$D$6:$D$55,EDTAP!A20,'Transfers log'!$A$6:$A$55,"Period 1")+SUMIFS('Transfers log'!$G$6:$G$55,'Transfers log'!$C$6:$C$55,"EDTAP",'Transfers log'!$E$6:$E$55,"5311 funds",'Transfers log'!$D$6:$D$55,EDTAP!A20,'Transfers log'!$A$6:$A$55,"Period 1")+SUMIFS('Transfers log'!$G$6:$G$55,'Transfers log'!$C$6:$C$55,"EDTAP",'Transfers log'!$E$6:$E$55,"5307 funds",'Transfers log'!$D$6:$D$55,EDTAP!A20,'Transfers log'!$A$6:$A$55,"Period 1")+SUMIFS('Transfers log'!$G$6:$G$55,'Transfers log'!$C$6:$C$55,"EDTAP",'Transfers log'!$E$6:$E$55,"5310 funds",'Transfers log'!$D$6:$D$55,EDTAP!A20,'Transfers log'!$A$6:$A$55,"Period 1")+SUMIFS('Transfers log'!$G$6:$G$55,'Transfers log'!$C$6:$C$55,"EDTAP",'Transfers log'!$E$6:$E$55,"Rural State Operating",'Transfers log'!$D$6:$D$55,EDTAP!A20,'Transfers log'!$A$6:$A$55,"Period 1"))</f>
        <v>0</v>
      </c>
      <c r="F20" s="372"/>
      <c r="G20" s="373"/>
      <c r="H20" s="322"/>
      <c r="I20" s="238">
        <f t="shared" si="0"/>
        <v>0</v>
      </c>
      <c r="J20" s="321"/>
      <c r="K20" s="12"/>
      <c r="M20" s="374"/>
      <c r="N20" s="375"/>
      <c r="O20" s="376"/>
      <c r="P20" s="321"/>
      <c r="Q20" s="92">
        <f>SUMIFS('Transfers log'!$G$6:$G$55,'Transfers log'!$E$6:$E$55,"EDTAP",'Transfers log'!$C$6:$C$55,"EMPL",'Transfers log'!$F$6:$F$55,EDTAP!M20,'Transfers log'!$A$6:$A$55,"Period 2")+SUMIFS('Transfers log'!$G$6:$G$55,'Transfers log'!$E$6:$E$55,"EDTAP",'Transfers log'!$C$6:$C$55,"EDTAP",'Transfers log'!$F$6:$F$55,EDTAP!M20,'Transfers log'!$A$6:$A$55,"Period 2")+SUMIFS('Transfers log'!$G$6:$G$55,'Transfers log'!$E$6:$E$55,"EDTAP",'Transfers log'!$C$6:$C$55,"RGP",'Transfers log'!$F$6:$F$55,EDTAP!M20,'Transfers log'!$A$6:$A$55,"Period 2")-SUMIFS('Transfers log'!$G$6:$G$55,'Transfers log'!$E$6:$E$55,"EDTAP",'Transfers log'!$C$6:$C$55,"EDTAP",'Transfers log'!$D$6:$D$55,EDTAP!M20,'Transfers log'!$A$6:$A$55,"Period 2")-(SUMIFS('Transfers log'!$G$6:$G$55,'Transfers log'!$C$6:$C$55,"EDTAP",'Transfers log'!$E$6:$E$55,"JARC",'Transfers log'!$D$6:$D$55,EDTAP!M20,'Transfers log'!$A$6:$A$55,"Period 2")+SUMIFS('Transfers log'!$G$6:$G$55,'Transfers log'!$C$6:$C$55,"EDTAP",'Transfers log'!$E$6:$E$55,"New Freedom",'Transfers log'!$D$6:$D$55,EDTAP!M20,'Transfers log'!$A$6:$A$55,"Period 2")+SUMIFS('Transfers log'!$G$6:$G$55,'Transfers log'!$C$6:$C$55,"EDTAP",'Transfers log'!$E$6:$E$55,"5311 funds",'Transfers log'!$D$6:$D$55,EDTAP!M20,'Transfers log'!$A$6:$A$55,"Period 2")+SUMIFS('Transfers log'!$G$6:$G$55,'Transfers log'!$C$6:$C$55,"EDTAP",'Transfers log'!$E$6:$E$55,"5307 funds",'Transfers log'!$D$6:$D$55,EDTAP!M20,'Transfers log'!$A$6:$A$55,"Period 2")+SUMIFS('Transfers log'!$G$6:$G$55,'Transfers log'!$C$6:$C$55,"EDTAP",'Transfers log'!$E$6:$E$55,"5310 funds",'Transfers log'!$D$6:$D$55,EDTAP!M20,'Transfers log'!$A$6:$A$55,"Period 2")+SUMIFS('Transfers log'!$G$6:$G$55,'Transfers log'!$C$6:$C$55,"EDTAP",'Transfers log'!$E$6:$E$55,"Rural State Operating",'Transfers log'!$D$6:$D$55,EDTAP!M20,'Transfers log'!$A$6:$A$55,"Period 2"))</f>
        <v>0</v>
      </c>
      <c r="R20" s="372"/>
      <c r="S20" s="373"/>
      <c r="T20" s="322"/>
      <c r="U20" s="238">
        <f t="shared" si="1"/>
        <v>0</v>
      </c>
      <c r="V20" s="321"/>
      <c r="W20" s="12"/>
    </row>
    <row r="21" spans="1:23" ht="15" customHeight="1" x14ac:dyDescent="0.2">
      <c r="A21" s="374"/>
      <c r="B21" s="375"/>
      <c r="C21" s="376"/>
      <c r="D21" s="321"/>
      <c r="E21" s="92">
        <f>SUMIFS('Transfers log'!$G$6:$G$55,'Transfers log'!$E$6:$E$55,"EDTAP",'Transfers log'!$C$6:$C$55,"EMPL",'Transfers log'!$F$6:$F$55,EDTAP!A21,'Transfers log'!$A$6:$A$55,"Period 1")+SUMIFS('Transfers log'!$G$6:$G$55,'Transfers log'!$E$6:$E$55,"EDTAP",'Transfers log'!$C$6:$C$55,"EDTAP",'Transfers log'!$F$6:$F$55,EDTAP!A21,'Transfers log'!$A$6:$A$55,"Period 1")+SUMIFS('Transfers log'!$G$6:$G$55,'Transfers log'!$E$6:$E$55,"EDTAP",'Transfers log'!$C$6:$C$55,"RGP",'Transfers log'!$F$6:$F$55,EDTAP!A21,'Transfers log'!$A$6:$A$55,"Period 1")-SUMIFS('Transfers log'!$G$6:$G$55,'Transfers log'!$E$6:$E$55,"EDTAP",'Transfers log'!$C$6:$C$55,"EDTAP",'Transfers log'!$D$6:$D$55,EDTAP!A21,'Transfers log'!$A$6:$A$55,"Period 1")-(SUMIFS('Transfers log'!$G$6:$G$55,'Transfers log'!$C$6:$C$55,"EDTAP",'Transfers log'!$E$6:$E$55,"JARC",'Transfers log'!$D$6:$D$55,EDTAP!A21,'Transfers log'!$A$6:$A$55,"Period 1")+SUMIFS('Transfers log'!$G$6:$G$55,'Transfers log'!$C$6:$C$55,"EDTAP",'Transfers log'!$E$6:$E$55,"New Freedom",'Transfers log'!$D$6:$D$55,EDTAP!A21,'Transfers log'!$A$6:$A$55,"Period 1")+SUMIFS('Transfers log'!$G$6:$G$55,'Transfers log'!$C$6:$C$55,"EDTAP",'Transfers log'!$E$6:$E$55,"5311 funds",'Transfers log'!$D$6:$D$55,EDTAP!A21,'Transfers log'!$A$6:$A$55,"Period 1")+SUMIFS('Transfers log'!$G$6:$G$55,'Transfers log'!$C$6:$C$55,"EDTAP",'Transfers log'!$E$6:$E$55,"5307 funds",'Transfers log'!$D$6:$D$55,EDTAP!A21,'Transfers log'!$A$6:$A$55,"Period 1")+SUMIFS('Transfers log'!$G$6:$G$55,'Transfers log'!$C$6:$C$55,"EDTAP",'Transfers log'!$E$6:$E$55,"5310 funds",'Transfers log'!$D$6:$D$55,EDTAP!A21,'Transfers log'!$A$6:$A$55,"Period 1")+SUMIFS('Transfers log'!$G$6:$G$55,'Transfers log'!$C$6:$C$55,"EDTAP",'Transfers log'!$E$6:$E$55,"Rural State Operating",'Transfers log'!$D$6:$D$55,EDTAP!A21,'Transfers log'!$A$6:$A$55,"Period 1"))</f>
        <v>0</v>
      </c>
      <c r="F21" s="372"/>
      <c r="G21" s="373"/>
      <c r="H21" s="322"/>
      <c r="I21" s="238">
        <f t="shared" si="0"/>
        <v>0</v>
      </c>
      <c r="J21" s="321"/>
      <c r="K21" s="12"/>
      <c r="M21" s="374"/>
      <c r="N21" s="375"/>
      <c r="O21" s="376"/>
      <c r="P21" s="321"/>
      <c r="Q21" s="92">
        <f>SUMIFS('Transfers log'!$G$6:$G$55,'Transfers log'!$E$6:$E$55,"EDTAP",'Transfers log'!$C$6:$C$55,"EMPL",'Transfers log'!$F$6:$F$55,EDTAP!M21,'Transfers log'!$A$6:$A$55,"Period 2")+SUMIFS('Transfers log'!$G$6:$G$55,'Transfers log'!$E$6:$E$55,"EDTAP",'Transfers log'!$C$6:$C$55,"EDTAP",'Transfers log'!$F$6:$F$55,EDTAP!M21,'Transfers log'!$A$6:$A$55,"Period 2")+SUMIFS('Transfers log'!$G$6:$G$55,'Transfers log'!$E$6:$E$55,"EDTAP",'Transfers log'!$C$6:$C$55,"RGP",'Transfers log'!$F$6:$F$55,EDTAP!M21,'Transfers log'!$A$6:$A$55,"Period 2")-SUMIFS('Transfers log'!$G$6:$G$55,'Transfers log'!$E$6:$E$55,"EDTAP",'Transfers log'!$C$6:$C$55,"EDTAP",'Transfers log'!$D$6:$D$55,EDTAP!M21,'Transfers log'!$A$6:$A$55,"Period 2")-(SUMIFS('Transfers log'!$G$6:$G$55,'Transfers log'!$C$6:$C$55,"EDTAP",'Transfers log'!$E$6:$E$55,"JARC",'Transfers log'!$D$6:$D$55,EDTAP!M21,'Transfers log'!$A$6:$A$55,"Period 2")+SUMIFS('Transfers log'!$G$6:$G$55,'Transfers log'!$C$6:$C$55,"EDTAP",'Transfers log'!$E$6:$E$55,"New Freedom",'Transfers log'!$D$6:$D$55,EDTAP!M21,'Transfers log'!$A$6:$A$55,"Period 2")+SUMIFS('Transfers log'!$G$6:$G$55,'Transfers log'!$C$6:$C$55,"EDTAP",'Transfers log'!$E$6:$E$55,"5311 funds",'Transfers log'!$D$6:$D$55,EDTAP!M21,'Transfers log'!$A$6:$A$55,"Period 2")+SUMIFS('Transfers log'!$G$6:$G$55,'Transfers log'!$C$6:$C$55,"EDTAP",'Transfers log'!$E$6:$E$55,"5307 funds",'Transfers log'!$D$6:$D$55,EDTAP!M21,'Transfers log'!$A$6:$A$55,"Period 2")+SUMIFS('Transfers log'!$G$6:$G$55,'Transfers log'!$C$6:$C$55,"EDTAP",'Transfers log'!$E$6:$E$55,"5310 funds",'Transfers log'!$D$6:$D$55,EDTAP!M21,'Transfers log'!$A$6:$A$55,"Period 2")+SUMIFS('Transfers log'!$G$6:$G$55,'Transfers log'!$C$6:$C$55,"EDTAP",'Transfers log'!$E$6:$E$55,"Rural State Operating",'Transfers log'!$D$6:$D$55,EDTAP!M21,'Transfers log'!$A$6:$A$55,"Period 2"))</f>
        <v>0</v>
      </c>
      <c r="R21" s="372"/>
      <c r="S21" s="373"/>
      <c r="T21" s="322"/>
      <c r="U21" s="238">
        <f t="shared" si="1"/>
        <v>0</v>
      </c>
      <c r="V21" s="321"/>
      <c r="W21" s="12"/>
    </row>
    <row r="22" spans="1:23" ht="15" customHeight="1" x14ac:dyDescent="0.2">
      <c r="A22" s="374"/>
      <c r="B22" s="375"/>
      <c r="C22" s="376"/>
      <c r="D22" s="321"/>
      <c r="E22" s="92">
        <f>SUMIFS('Transfers log'!$G$6:$G$55,'Transfers log'!$E$6:$E$55,"EDTAP",'Transfers log'!$C$6:$C$55,"EMPL",'Transfers log'!$F$6:$F$55,EDTAP!A22,'Transfers log'!$A$6:$A$55,"Period 1")+SUMIFS('Transfers log'!$G$6:$G$55,'Transfers log'!$E$6:$E$55,"EDTAP",'Transfers log'!$C$6:$C$55,"EDTAP",'Transfers log'!$F$6:$F$55,EDTAP!A22,'Transfers log'!$A$6:$A$55,"Period 1")+SUMIFS('Transfers log'!$G$6:$G$55,'Transfers log'!$E$6:$E$55,"EDTAP",'Transfers log'!$C$6:$C$55,"RGP",'Transfers log'!$F$6:$F$55,EDTAP!A22,'Transfers log'!$A$6:$A$55,"Period 1")-SUMIFS('Transfers log'!$G$6:$G$55,'Transfers log'!$E$6:$E$55,"EDTAP",'Transfers log'!$C$6:$C$55,"EDTAP",'Transfers log'!$D$6:$D$55,EDTAP!A22,'Transfers log'!$A$6:$A$55,"Period 1")-(SUMIFS('Transfers log'!$G$6:$G$55,'Transfers log'!$C$6:$C$55,"EDTAP",'Transfers log'!$E$6:$E$55,"JARC",'Transfers log'!$D$6:$D$55,EDTAP!A22,'Transfers log'!$A$6:$A$55,"Period 1")+SUMIFS('Transfers log'!$G$6:$G$55,'Transfers log'!$C$6:$C$55,"EDTAP",'Transfers log'!$E$6:$E$55,"New Freedom",'Transfers log'!$D$6:$D$55,EDTAP!A22,'Transfers log'!$A$6:$A$55,"Period 1")+SUMIFS('Transfers log'!$G$6:$G$55,'Transfers log'!$C$6:$C$55,"EDTAP",'Transfers log'!$E$6:$E$55,"5311 funds",'Transfers log'!$D$6:$D$55,EDTAP!A22,'Transfers log'!$A$6:$A$55,"Period 1")+SUMIFS('Transfers log'!$G$6:$G$55,'Transfers log'!$C$6:$C$55,"EDTAP",'Transfers log'!$E$6:$E$55,"5307 funds",'Transfers log'!$D$6:$D$55,EDTAP!A22,'Transfers log'!$A$6:$A$55,"Period 1")+SUMIFS('Transfers log'!$G$6:$G$55,'Transfers log'!$C$6:$C$55,"EDTAP",'Transfers log'!$E$6:$E$55,"5310 funds",'Transfers log'!$D$6:$D$55,EDTAP!A22,'Transfers log'!$A$6:$A$55,"Period 1")+SUMIFS('Transfers log'!$G$6:$G$55,'Transfers log'!$C$6:$C$55,"EDTAP",'Transfers log'!$E$6:$E$55,"Rural State Operating",'Transfers log'!$D$6:$D$55,EDTAP!A22,'Transfers log'!$A$6:$A$55,"Period 1"))</f>
        <v>0</v>
      </c>
      <c r="F22" s="372"/>
      <c r="G22" s="373"/>
      <c r="H22" s="322"/>
      <c r="I22" s="238">
        <f t="shared" si="0"/>
        <v>0</v>
      </c>
      <c r="J22" s="321"/>
      <c r="K22" s="12"/>
      <c r="M22" s="374"/>
      <c r="N22" s="375"/>
      <c r="O22" s="376"/>
      <c r="P22" s="321"/>
      <c r="Q22" s="92">
        <f>SUMIFS('Transfers log'!$G$6:$G$55,'Transfers log'!$E$6:$E$55,"EDTAP",'Transfers log'!$C$6:$C$55,"EMPL",'Transfers log'!$F$6:$F$55,EDTAP!M22,'Transfers log'!$A$6:$A$55,"Period 2")+SUMIFS('Transfers log'!$G$6:$G$55,'Transfers log'!$E$6:$E$55,"EDTAP",'Transfers log'!$C$6:$C$55,"EDTAP",'Transfers log'!$F$6:$F$55,EDTAP!M22,'Transfers log'!$A$6:$A$55,"Period 2")+SUMIFS('Transfers log'!$G$6:$G$55,'Transfers log'!$E$6:$E$55,"EDTAP",'Transfers log'!$C$6:$C$55,"RGP",'Transfers log'!$F$6:$F$55,EDTAP!M22,'Transfers log'!$A$6:$A$55,"Period 2")-SUMIFS('Transfers log'!$G$6:$G$55,'Transfers log'!$E$6:$E$55,"EDTAP",'Transfers log'!$C$6:$C$55,"EDTAP",'Transfers log'!$D$6:$D$55,EDTAP!M22,'Transfers log'!$A$6:$A$55,"Period 2")-(SUMIFS('Transfers log'!$G$6:$G$55,'Transfers log'!$C$6:$C$55,"EDTAP",'Transfers log'!$E$6:$E$55,"JARC",'Transfers log'!$D$6:$D$55,EDTAP!M22,'Transfers log'!$A$6:$A$55,"Period 2")+SUMIFS('Transfers log'!$G$6:$G$55,'Transfers log'!$C$6:$C$55,"EDTAP",'Transfers log'!$E$6:$E$55,"New Freedom",'Transfers log'!$D$6:$D$55,EDTAP!M22,'Transfers log'!$A$6:$A$55,"Period 2")+SUMIFS('Transfers log'!$G$6:$G$55,'Transfers log'!$C$6:$C$55,"EDTAP",'Transfers log'!$E$6:$E$55,"5311 funds",'Transfers log'!$D$6:$D$55,EDTAP!M22,'Transfers log'!$A$6:$A$55,"Period 2")+SUMIFS('Transfers log'!$G$6:$G$55,'Transfers log'!$C$6:$C$55,"EDTAP",'Transfers log'!$E$6:$E$55,"5307 funds",'Transfers log'!$D$6:$D$55,EDTAP!M22,'Transfers log'!$A$6:$A$55,"Period 2")+SUMIFS('Transfers log'!$G$6:$G$55,'Transfers log'!$C$6:$C$55,"EDTAP",'Transfers log'!$E$6:$E$55,"5310 funds",'Transfers log'!$D$6:$D$55,EDTAP!M22,'Transfers log'!$A$6:$A$55,"Period 2")+SUMIFS('Transfers log'!$G$6:$G$55,'Transfers log'!$C$6:$C$55,"EDTAP",'Transfers log'!$E$6:$E$55,"Rural State Operating",'Transfers log'!$D$6:$D$55,EDTAP!M22,'Transfers log'!$A$6:$A$55,"Period 2"))</f>
        <v>0</v>
      </c>
      <c r="R22" s="372"/>
      <c r="S22" s="373"/>
      <c r="T22" s="322"/>
      <c r="U22" s="238">
        <f t="shared" si="1"/>
        <v>0</v>
      </c>
      <c r="V22" s="321"/>
      <c r="W22" s="12"/>
    </row>
    <row r="23" spans="1:23" ht="15" hidden="1" customHeight="1" x14ac:dyDescent="0.2">
      <c r="A23" s="378"/>
      <c r="B23" s="379"/>
      <c r="C23" s="380"/>
      <c r="D23" s="236"/>
      <c r="E23" s="92">
        <f>SUMIFS('Transfers log'!$G$6:$G$55,'Transfers log'!$E$6:$E$55,"EDTAP",'Transfers log'!$C$6:$C$55,"EMPL",'Transfers log'!$F$6:$F$55,EDTAP!A23,'Transfers log'!$A$6:$A$55,"Period 1")+SUMIFS('Transfers log'!$G$6:$G$55,'Transfers log'!$E$6:$E$55,"EDTAP",'Transfers log'!$C$6:$C$55,"EDTAP",'Transfers log'!$F$6:$F$55,EDTAP!A23,'Transfers log'!$A$6:$A$55,"Period 1")+SUMIFS('Transfers log'!$G$6:$G$55,'Transfers log'!$E$6:$E$55,"EDTAP",'Transfers log'!$C$6:$C$55,"RGP",'Transfers log'!$F$6:$F$55,EDTAP!A23,'Transfers log'!$A$6:$A$55,"Period 1")-SUMIFS('Transfers log'!$G$6:$G$55,'Transfers log'!$E$6:$E$55,"EDTAP",'Transfers log'!$C$6:$C$55,"EDTAP",'Transfers log'!$D$6:$D$55,EDTAP!A23,'Transfers log'!$A$6:$A$55,"Period 1")-(SUMIFS('Transfers log'!$G$6:$G$55,'Transfers log'!$C$6:$C$55,"EDTAP",'Transfers log'!$E$6:$E$55,"JARC",'Transfers log'!$D$6:$D$55,EDTAP!A23,'Transfers log'!$A$6:$A$55,"Period 1")+SUMIFS('Transfers log'!$G$6:$G$55,'Transfers log'!$C$6:$C$55,"EDTAP",'Transfers log'!$E$6:$E$55,"New Freedom",'Transfers log'!$D$6:$D$55,EDTAP!A23,'Transfers log'!$A$6:$A$55,"Period 1")+SUMIFS('Transfers log'!$G$6:$G$55,'Transfers log'!$C$6:$C$55,"EDTAP",'Transfers log'!$E$6:$E$55,"5311 funds",'Transfers log'!$D$6:$D$55,EDTAP!A23,'Transfers log'!$A$6:$A$55,"Period 1")+SUMIFS('Transfers log'!$G$6:$G$55,'Transfers log'!$C$6:$C$55,"EDTAP",'Transfers log'!$E$6:$E$55,"5307 funds",'Transfers log'!$D$6:$D$55,EDTAP!A23,'Transfers log'!$A$6:$A$55,"Period 1")+SUMIFS('Transfers log'!$G$6:$G$55,'Transfers log'!$C$6:$C$55,"EDTAP",'Transfers log'!$E$6:$E$55,"5310 funds",'Transfers log'!$D$6:$D$55,EDTAP!A23,'Transfers log'!$A$6:$A$55,"Period 1")+SUMIFS('Transfers log'!$G$6:$G$55,'Transfers log'!$C$6:$C$55,"EDTAP",'Transfers log'!$E$6:$E$55,"Rural State Operating",'Transfers log'!$D$6:$D$55,EDTAP!A23,'Transfers log'!$A$6:$A$55,"Period 1"))</f>
        <v>0</v>
      </c>
      <c r="F23" s="370"/>
      <c r="G23" s="371"/>
      <c r="H23" s="207"/>
      <c r="I23" s="238">
        <f t="shared" si="0"/>
        <v>0</v>
      </c>
      <c r="J23" s="253"/>
      <c r="K23" s="12"/>
      <c r="M23" s="378"/>
      <c r="N23" s="379"/>
      <c r="O23" s="380"/>
      <c r="P23" s="236"/>
      <c r="Q23" s="92">
        <f>SUMIFS('Transfers log'!$G$6:$G$55,'Transfers log'!$E$6:$E$55,"EDTAP",'Transfers log'!$C$6:$C$55,"EMPL",'Transfers log'!$F$6:$F$55,EDTAP!M23,'Transfers log'!$A$6:$A$55,"Period 2")+SUMIFS('Transfers log'!$G$6:$G$55,'Transfers log'!$E$6:$E$55,"EDTAP",'Transfers log'!$C$6:$C$55,"EDTAP",'Transfers log'!$F$6:$F$55,EDTAP!M23,'Transfers log'!$A$6:$A$55,"Period 2")+SUMIFS('Transfers log'!$G$6:$G$55,'Transfers log'!$E$6:$E$55,"EDTAP",'Transfers log'!$C$6:$C$55,"RGP",'Transfers log'!$F$6:$F$55,EDTAP!M23,'Transfers log'!$A$6:$A$55,"Period 2")-SUMIFS('Transfers log'!$G$6:$G$55,'Transfers log'!$E$6:$E$55,"EDTAP",'Transfers log'!$C$6:$C$55,"EDTAP",'Transfers log'!$D$6:$D$55,EDTAP!M23,'Transfers log'!$A$6:$A$55,"Period 2")-(SUMIFS('Transfers log'!$G$6:$G$55,'Transfers log'!$C$6:$C$55,"EDTAP",'Transfers log'!$E$6:$E$55,"JARC",'Transfers log'!$D$6:$D$55,EDTAP!M23,'Transfers log'!$A$6:$A$55,"Period 2")+SUMIFS('Transfers log'!$G$6:$G$55,'Transfers log'!$C$6:$C$55,"EDTAP",'Transfers log'!$E$6:$E$55,"New Freedom",'Transfers log'!$D$6:$D$55,EDTAP!M23,'Transfers log'!$A$6:$A$55,"Period 2")+SUMIFS('Transfers log'!$G$6:$G$55,'Transfers log'!$C$6:$C$55,"EDTAP",'Transfers log'!$E$6:$E$55,"5311 funds",'Transfers log'!$D$6:$D$55,EDTAP!M23,'Transfers log'!$A$6:$A$55,"Period 2")+SUMIFS('Transfers log'!$G$6:$G$55,'Transfers log'!$C$6:$C$55,"EDTAP",'Transfers log'!$E$6:$E$55,"5307 funds",'Transfers log'!$D$6:$D$55,EDTAP!M23,'Transfers log'!$A$6:$A$55,"Period 2")+SUMIFS('Transfers log'!$G$6:$G$55,'Transfers log'!$C$6:$C$55,"EDTAP",'Transfers log'!$E$6:$E$55,"5310 funds",'Transfers log'!$D$6:$D$55,EDTAP!M23,'Transfers log'!$A$6:$A$55,"Period 2")+SUMIFS('Transfers log'!$G$6:$G$55,'Transfers log'!$C$6:$C$55,"EDTAP",'Transfers log'!$E$6:$E$55,"Rural State Operating",'Transfers log'!$D$6:$D$55,EDTAP!M23,'Transfers log'!$A$6:$A$55,"Period 2"))</f>
        <v>0</v>
      </c>
      <c r="R23" s="370"/>
      <c r="S23" s="371"/>
      <c r="T23" s="207"/>
      <c r="U23" s="238">
        <f t="shared" si="1"/>
        <v>0</v>
      </c>
      <c r="V23" s="237"/>
      <c r="W23" s="12"/>
    </row>
    <row r="24" spans="1:23" ht="15" hidden="1" customHeight="1" x14ac:dyDescent="0.2">
      <c r="A24" s="378"/>
      <c r="B24" s="379"/>
      <c r="C24" s="380"/>
      <c r="D24" s="236"/>
      <c r="E24" s="92">
        <f>SUMIFS('Transfers log'!$G$6:$G$55,'Transfers log'!$E$6:$E$55,"EDTAP",'Transfers log'!$C$6:$C$55,"EMPL",'Transfers log'!$F$6:$F$55,EDTAP!A24,'Transfers log'!$A$6:$A$55,"Period 1")+SUMIFS('Transfers log'!$G$6:$G$55,'Transfers log'!$E$6:$E$55,"EDTAP",'Transfers log'!$C$6:$C$55,"EDTAP",'Transfers log'!$F$6:$F$55,EDTAP!A24,'Transfers log'!$A$6:$A$55,"Period 1")+SUMIFS('Transfers log'!$G$6:$G$55,'Transfers log'!$E$6:$E$55,"EDTAP",'Transfers log'!$C$6:$C$55,"RGP",'Transfers log'!$F$6:$F$55,EDTAP!A24,'Transfers log'!$A$6:$A$55,"Period 1")-SUMIFS('Transfers log'!$G$6:$G$55,'Transfers log'!$E$6:$E$55,"EDTAP",'Transfers log'!$C$6:$C$55,"EDTAP",'Transfers log'!$D$6:$D$55,EDTAP!A24,'Transfers log'!$A$6:$A$55,"Period 1")-(SUMIFS('Transfers log'!$G$6:$G$55,'Transfers log'!$C$6:$C$55,"EDTAP",'Transfers log'!$E$6:$E$55,"JARC",'Transfers log'!$D$6:$D$55,EDTAP!A24,'Transfers log'!$A$6:$A$55,"Period 1")+SUMIFS('Transfers log'!$G$6:$G$55,'Transfers log'!$C$6:$C$55,"EDTAP",'Transfers log'!$E$6:$E$55,"New Freedom",'Transfers log'!$D$6:$D$55,EDTAP!A24,'Transfers log'!$A$6:$A$55,"Period 1")+SUMIFS('Transfers log'!$G$6:$G$55,'Transfers log'!$C$6:$C$55,"EDTAP",'Transfers log'!$E$6:$E$55,"5311 funds",'Transfers log'!$D$6:$D$55,EDTAP!A24,'Transfers log'!$A$6:$A$55,"Period 1")+SUMIFS('Transfers log'!$G$6:$G$55,'Transfers log'!$C$6:$C$55,"EDTAP",'Transfers log'!$E$6:$E$55,"5307 funds",'Transfers log'!$D$6:$D$55,EDTAP!A24,'Transfers log'!$A$6:$A$55,"Period 1")+SUMIFS('Transfers log'!$G$6:$G$55,'Transfers log'!$C$6:$C$55,"EDTAP",'Transfers log'!$E$6:$E$55,"5310 funds",'Transfers log'!$D$6:$D$55,EDTAP!A24,'Transfers log'!$A$6:$A$55,"Period 1")+SUMIFS('Transfers log'!$G$6:$G$55,'Transfers log'!$C$6:$C$55,"EDTAP",'Transfers log'!$E$6:$E$55,"Rural State Operating",'Transfers log'!$D$6:$D$55,EDTAP!A24,'Transfers log'!$A$6:$A$55,"Period 1"))</f>
        <v>0</v>
      </c>
      <c r="F24" s="370"/>
      <c r="G24" s="371"/>
      <c r="H24" s="207"/>
      <c r="I24" s="238">
        <f t="shared" si="0"/>
        <v>0</v>
      </c>
      <c r="J24" s="253"/>
      <c r="K24" s="12"/>
      <c r="M24" s="378"/>
      <c r="N24" s="379"/>
      <c r="O24" s="380"/>
      <c r="P24" s="236"/>
      <c r="Q24" s="92">
        <f>SUMIFS('Transfers log'!$G$6:$G$55,'Transfers log'!$E$6:$E$55,"EDTAP",'Transfers log'!$C$6:$C$55,"EMPL",'Transfers log'!$F$6:$F$55,EDTAP!M24,'Transfers log'!$A$6:$A$55,"Period 2")+SUMIFS('Transfers log'!$G$6:$G$55,'Transfers log'!$E$6:$E$55,"EDTAP",'Transfers log'!$C$6:$C$55,"EDTAP",'Transfers log'!$F$6:$F$55,EDTAP!M24,'Transfers log'!$A$6:$A$55,"Period 2")+SUMIFS('Transfers log'!$G$6:$G$55,'Transfers log'!$E$6:$E$55,"EDTAP",'Transfers log'!$C$6:$C$55,"RGP",'Transfers log'!$F$6:$F$55,EDTAP!M24,'Transfers log'!$A$6:$A$55,"Period 2")-SUMIFS('Transfers log'!$G$6:$G$55,'Transfers log'!$E$6:$E$55,"EDTAP",'Transfers log'!$C$6:$C$55,"EDTAP",'Transfers log'!$D$6:$D$55,EDTAP!M24,'Transfers log'!$A$6:$A$55,"Period 2")-(SUMIFS('Transfers log'!$G$6:$G$55,'Transfers log'!$C$6:$C$55,"EDTAP",'Transfers log'!$E$6:$E$55,"JARC",'Transfers log'!$D$6:$D$55,EDTAP!M24,'Transfers log'!$A$6:$A$55,"Period 2")+SUMIFS('Transfers log'!$G$6:$G$55,'Transfers log'!$C$6:$C$55,"EDTAP",'Transfers log'!$E$6:$E$55,"New Freedom",'Transfers log'!$D$6:$D$55,EDTAP!M24,'Transfers log'!$A$6:$A$55,"Period 2")+SUMIFS('Transfers log'!$G$6:$G$55,'Transfers log'!$C$6:$C$55,"EDTAP",'Transfers log'!$E$6:$E$55,"5311 funds",'Transfers log'!$D$6:$D$55,EDTAP!M24,'Transfers log'!$A$6:$A$55,"Period 2")+SUMIFS('Transfers log'!$G$6:$G$55,'Transfers log'!$C$6:$C$55,"EDTAP",'Transfers log'!$E$6:$E$55,"5307 funds",'Transfers log'!$D$6:$D$55,EDTAP!M24,'Transfers log'!$A$6:$A$55,"Period 2")+SUMIFS('Transfers log'!$G$6:$G$55,'Transfers log'!$C$6:$C$55,"EDTAP",'Transfers log'!$E$6:$E$55,"5310 funds",'Transfers log'!$D$6:$D$55,EDTAP!M24,'Transfers log'!$A$6:$A$55,"Period 2")+SUMIFS('Transfers log'!$G$6:$G$55,'Transfers log'!$C$6:$C$55,"EDTAP",'Transfers log'!$E$6:$E$55,"Rural State Operating",'Transfers log'!$D$6:$D$55,EDTAP!M24,'Transfers log'!$A$6:$A$55,"Period 2"))</f>
        <v>0</v>
      </c>
      <c r="R24" s="370"/>
      <c r="S24" s="371"/>
      <c r="T24" s="207"/>
      <c r="U24" s="238">
        <f t="shared" si="1"/>
        <v>0</v>
      </c>
      <c r="V24" s="237"/>
      <c r="W24" s="12"/>
    </row>
    <row r="25" spans="1:23" ht="15" hidden="1" customHeight="1" x14ac:dyDescent="0.2">
      <c r="A25" s="378"/>
      <c r="B25" s="379"/>
      <c r="C25" s="380"/>
      <c r="D25" s="236"/>
      <c r="E25" s="92">
        <f>SUMIFS('Transfers log'!$G$6:$G$55,'Transfers log'!$E$6:$E$55,"EDTAP",'Transfers log'!$C$6:$C$55,"EMPL",'Transfers log'!$F$6:$F$55,EDTAP!A25,'Transfers log'!$A$6:$A$55,"Period 1")+SUMIFS('Transfers log'!$G$6:$G$55,'Transfers log'!$E$6:$E$55,"EDTAP",'Transfers log'!$C$6:$C$55,"EDTAP",'Transfers log'!$F$6:$F$55,EDTAP!A25,'Transfers log'!$A$6:$A$55,"Period 1")+SUMIFS('Transfers log'!$G$6:$G$55,'Transfers log'!$E$6:$E$55,"EDTAP",'Transfers log'!$C$6:$C$55,"RGP",'Transfers log'!$F$6:$F$55,EDTAP!A25,'Transfers log'!$A$6:$A$55,"Period 1")-SUMIFS('Transfers log'!$G$6:$G$55,'Transfers log'!$E$6:$E$55,"EDTAP",'Transfers log'!$C$6:$C$55,"EDTAP",'Transfers log'!$D$6:$D$55,EDTAP!A25,'Transfers log'!$A$6:$A$55,"Period 1")-(SUMIFS('Transfers log'!$G$6:$G$55,'Transfers log'!$C$6:$C$55,"EDTAP",'Transfers log'!$E$6:$E$55,"JARC",'Transfers log'!$D$6:$D$55,EDTAP!A25,'Transfers log'!$A$6:$A$55,"Period 1")+SUMIFS('Transfers log'!$G$6:$G$55,'Transfers log'!$C$6:$C$55,"EDTAP",'Transfers log'!$E$6:$E$55,"New Freedom",'Transfers log'!$D$6:$D$55,EDTAP!A25,'Transfers log'!$A$6:$A$55,"Period 1")+SUMIFS('Transfers log'!$G$6:$G$55,'Transfers log'!$C$6:$C$55,"EDTAP",'Transfers log'!$E$6:$E$55,"5311 funds",'Transfers log'!$D$6:$D$55,EDTAP!A25,'Transfers log'!$A$6:$A$55,"Period 1")+SUMIFS('Transfers log'!$G$6:$G$55,'Transfers log'!$C$6:$C$55,"EDTAP",'Transfers log'!$E$6:$E$55,"5307 funds",'Transfers log'!$D$6:$D$55,EDTAP!A25,'Transfers log'!$A$6:$A$55,"Period 1")+SUMIFS('Transfers log'!$G$6:$G$55,'Transfers log'!$C$6:$C$55,"EDTAP",'Transfers log'!$E$6:$E$55,"5310 funds",'Transfers log'!$D$6:$D$55,EDTAP!A25,'Transfers log'!$A$6:$A$55,"Period 1")+SUMIFS('Transfers log'!$G$6:$G$55,'Transfers log'!$C$6:$C$55,"EDTAP",'Transfers log'!$E$6:$E$55,"Rural State Operating",'Transfers log'!$D$6:$D$55,EDTAP!A25,'Transfers log'!$A$6:$A$55,"Period 1"))</f>
        <v>0</v>
      </c>
      <c r="F25" s="370"/>
      <c r="G25" s="371"/>
      <c r="H25" s="207"/>
      <c r="I25" s="238">
        <f t="shared" si="0"/>
        <v>0</v>
      </c>
      <c r="J25" s="253"/>
      <c r="K25" s="12"/>
      <c r="M25" s="378"/>
      <c r="N25" s="379"/>
      <c r="O25" s="380"/>
      <c r="P25" s="236"/>
      <c r="Q25" s="92">
        <f>SUMIFS('Transfers log'!$G$6:$G$55,'Transfers log'!$E$6:$E$55,"EDTAP",'Transfers log'!$C$6:$C$55,"EMPL",'Transfers log'!$F$6:$F$55,EDTAP!M25,'Transfers log'!$A$6:$A$55,"Period 2")+SUMIFS('Transfers log'!$G$6:$G$55,'Transfers log'!$E$6:$E$55,"EDTAP",'Transfers log'!$C$6:$C$55,"EDTAP",'Transfers log'!$F$6:$F$55,EDTAP!M25,'Transfers log'!$A$6:$A$55,"Period 2")+SUMIFS('Transfers log'!$G$6:$G$55,'Transfers log'!$E$6:$E$55,"EDTAP",'Transfers log'!$C$6:$C$55,"RGP",'Transfers log'!$F$6:$F$55,EDTAP!M25,'Transfers log'!$A$6:$A$55,"Period 2")-SUMIFS('Transfers log'!$G$6:$G$55,'Transfers log'!$E$6:$E$55,"EDTAP",'Transfers log'!$C$6:$C$55,"EDTAP",'Transfers log'!$D$6:$D$55,EDTAP!M25,'Transfers log'!$A$6:$A$55,"Period 2")-(SUMIFS('Transfers log'!$G$6:$G$55,'Transfers log'!$C$6:$C$55,"EDTAP",'Transfers log'!$E$6:$E$55,"JARC",'Transfers log'!$D$6:$D$55,EDTAP!M25,'Transfers log'!$A$6:$A$55,"Period 2")+SUMIFS('Transfers log'!$G$6:$G$55,'Transfers log'!$C$6:$C$55,"EDTAP",'Transfers log'!$E$6:$E$55,"New Freedom",'Transfers log'!$D$6:$D$55,EDTAP!M25,'Transfers log'!$A$6:$A$55,"Period 2")+SUMIFS('Transfers log'!$G$6:$G$55,'Transfers log'!$C$6:$C$55,"EDTAP",'Transfers log'!$E$6:$E$55,"5311 funds",'Transfers log'!$D$6:$D$55,EDTAP!M25,'Transfers log'!$A$6:$A$55,"Period 2")+SUMIFS('Transfers log'!$G$6:$G$55,'Transfers log'!$C$6:$C$55,"EDTAP",'Transfers log'!$E$6:$E$55,"5307 funds",'Transfers log'!$D$6:$D$55,EDTAP!M25,'Transfers log'!$A$6:$A$55,"Period 2")+SUMIFS('Transfers log'!$G$6:$G$55,'Transfers log'!$C$6:$C$55,"EDTAP",'Transfers log'!$E$6:$E$55,"5310 funds",'Transfers log'!$D$6:$D$55,EDTAP!M25,'Transfers log'!$A$6:$A$55,"Period 2")+SUMIFS('Transfers log'!$G$6:$G$55,'Transfers log'!$C$6:$C$55,"EDTAP",'Transfers log'!$E$6:$E$55,"Rural State Operating",'Transfers log'!$D$6:$D$55,EDTAP!M25,'Transfers log'!$A$6:$A$55,"Period 2"))</f>
        <v>0</v>
      </c>
      <c r="R25" s="370"/>
      <c r="S25" s="371"/>
      <c r="T25" s="207"/>
      <c r="U25" s="238">
        <f t="shared" si="1"/>
        <v>0</v>
      </c>
      <c r="V25" s="237"/>
      <c r="W25" s="12"/>
    </row>
    <row r="26" spans="1:23" ht="15" customHeight="1" x14ac:dyDescent="0.2">
      <c r="A26" s="381"/>
      <c r="B26" s="382"/>
      <c r="C26" s="383"/>
      <c r="D26" s="312"/>
      <c r="E26" s="119"/>
      <c r="F26" s="457"/>
      <c r="G26" s="458"/>
      <c r="H26" s="187"/>
      <c r="I26" s="119"/>
      <c r="J26" s="254"/>
      <c r="K26" s="12"/>
      <c r="M26" s="381" t="s">
        <v>388</v>
      </c>
      <c r="N26" s="382"/>
      <c r="O26" s="383"/>
      <c r="P26" s="92">
        <f>K36</f>
        <v>0</v>
      </c>
      <c r="Q26" s="119"/>
      <c r="R26" s="438"/>
      <c r="S26" s="439"/>
      <c r="T26" s="119"/>
      <c r="U26" s="119"/>
      <c r="V26" s="119"/>
      <c r="W26" s="12"/>
    </row>
    <row r="27" spans="1:23" ht="15" customHeight="1" x14ac:dyDescent="0.2">
      <c r="A27" s="440" t="s">
        <v>0</v>
      </c>
      <c r="B27" s="441"/>
      <c r="C27" s="442"/>
      <c r="D27" s="95">
        <f>SUM(D11:D26)</f>
        <v>0</v>
      </c>
      <c r="E27" s="95">
        <f>SUM(E11:E26)</f>
        <v>0</v>
      </c>
      <c r="F27" s="443">
        <f>SUM(F11:G26)</f>
        <v>0</v>
      </c>
      <c r="G27" s="443"/>
      <c r="H27" s="239">
        <f>SUM(H11:H26)</f>
        <v>0</v>
      </c>
      <c r="I27" s="239">
        <f>SUM(I11:I26)</f>
        <v>0</v>
      </c>
      <c r="J27" s="95">
        <f>SUM(J11:J26)</f>
        <v>0</v>
      </c>
      <c r="K27" s="12"/>
      <c r="M27" s="440" t="s">
        <v>0</v>
      </c>
      <c r="N27" s="441"/>
      <c r="O27" s="442"/>
      <c r="P27" s="95">
        <f>SUM(P11:P26)</f>
        <v>0</v>
      </c>
      <c r="Q27" s="95">
        <f>SUM(Q11:Q26)</f>
        <v>0</v>
      </c>
      <c r="R27" s="443">
        <f>SUM(R11:S26)</f>
        <v>0</v>
      </c>
      <c r="S27" s="443"/>
      <c r="T27" s="239">
        <f>SUM(T11:T26)</f>
        <v>0</v>
      </c>
      <c r="U27" s="239">
        <f>SUM(U11:U26)</f>
        <v>0</v>
      </c>
      <c r="V27" s="95">
        <f>SUM(V11:V26)</f>
        <v>0</v>
      </c>
      <c r="W27" s="12"/>
    </row>
    <row r="28" spans="1:23" ht="32.25" customHeight="1" x14ac:dyDescent="0.2">
      <c r="A28" s="384" t="s">
        <v>36</v>
      </c>
      <c r="B28" s="385"/>
      <c r="C28" s="385"/>
      <c r="D28" s="385"/>
      <c r="E28" s="385"/>
      <c r="F28" s="385"/>
      <c r="G28" s="385"/>
      <c r="H28" s="385"/>
      <c r="I28" s="385"/>
      <c r="J28" s="385"/>
      <c r="K28" s="386"/>
      <c r="M28" s="444" t="s">
        <v>36</v>
      </c>
      <c r="N28" s="445"/>
      <c r="O28" s="445"/>
      <c r="P28" s="445"/>
      <c r="Q28" s="445"/>
      <c r="R28" s="445"/>
      <c r="S28" s="445"/>
      <c r="T28" s="445"/>
      <c r="U28" s="445"/>
      <c r="V28" s="445"/>
      <c r="W28" s="446"/>
    </row>
    <row r="29" spans="1:23" ht="60.75" customHeight="1" x14ac:dyDescent="0.2">
      <c r="A29" s="427"/>
      <c r="B29" s="428"/>
      <c r="C29" s="428"/>
      <c r="D29" s="428"/>
      <c r="E29" s="428"/>
      <c r="F29" s="428"/>
      <c r="G29" s="428"/>
      <c r="H29" s="428"/>
      <c r="I29" s="428"/>
      <c r="J29" s="428"/>
      <c r="K29" s="429"/>
      <c r="M29" s="427"/>
      <c r="N29" s="428"/>
      <c r="O29" s="428"/>
      <c r="P29" s="428"/>
      <c r="Q29" s="428"/>
      <c r="R29" s="428"/>
      <c r="S29" s="428"/>
      <c r="T29" s="428"/>
      <c r="U29" s="428"/>
      <c r="V29" s="428"/>
      <c r="W29" s="429"/>
    </row>
    <row r="30" spans="1:23" s="37" customFormat="1" ht="13.5" customHeight="1" x14ac:dyDescent="0.2">
      <c r="A30" s="409" t="s">
        <v>390</v>
      </c>
      <c r="B30" s="410"/>
      <c r="C30" s="410"/>
      <c r="D30" s="410"/>
      <c r="E30" s="410"/>
      <c r="F30" s="410"/>
      <c r="G30" s="410"/>
      <c r="H30" s="410"/>
      <c r="I30" s="410"/>
      <c r="J30" s="410"/>
      <c r="K30" s="411"/>
      <c r="L30" s="36"/>
      <c r="M30" s="430" t="s">
        <v>390</v>
      </c>
      <c r="N30" s="431"/>
      <c r="O30" s="431"/>
      <c r="P30" s="431"/>
      <c r="Q30" s="431"/>
      <c r="R30" s="431"/>
      <c r="S30" s="431"/>
      <c r="T30" s="431"/>
      <c r="U30" s="431"/>
      <c r="V30" s="431"/>
      <c r="W30" s="432"/>
    </row>
    <row r="31" spans="1:23" s="39" customFormat="1" ht="13.5" customHeight="1" x14ac:dyDescent="0.2">
      <c r="A31" s="232">
        <f>J9+1</f>
        <v>19</v>
      </c>
      <c r="B31" s="377" t="s">
        <v>9</v>
      </c>
      <c r="C31" s="377"/>
      <c r="D31" s="377"/>
      <c r="E31" s="433"/>
      <c r="F31" s="434"/>
      <c r="G31" s="233">
        <f>A31+1</f>
        <v>20</v>
      </c>
      <c r="H31" s="435" t="s">
        <v>8</v>
      </c>
      <c r="I31" s="436"/>
      <c r="J31" s="437"/>
      <c r="K31" s="323">
        <v>0</v>
      </c>
      <c r="L31" s="38"/>
      <c r="M31" s="232">
        <f>A31</f>
        <v>19</v>
      </c>
      <c r="N31" s="377" t="s">
        <v>9</v>
      </c>
      <c r="O31" s="377"/>
      <c r="P31" s="377"/>
      <c r="Q31" s="433"/>
      <c r="R31" s="434"/>
      <c r="S31" s="233">
        <f>G31</f>
        <v>20</v>
      </c>
      <c r="T31" s="435" t="s">
        <v>8</v>
      </c>
      <c r="U31" s="436"/>
      <c r="V31" s="437"/>
      <c r="W31" s="323">
        <v>0</v>
      </c>
    </row>
    <row r="32" spans="1:23" s="37" customFormat="1" ht="13.5" customHeight="1" x14ac:dyDescent="0.2">
      <c r="A32" s="409" t="s">
        <v>14</v>
      </c>
      <c r="B32" s="410"/>
      <c r="C32" s="410"/>
      <c r="D32" s="410"/>
      <c r="E32" s="410"/>
      <c r="F32" s="410"/>
      <c r="G32" s="410"/>
      <c r="H32" s="410"/>
      <c r="I32" s="410"/>
      <c r="J32" s="410"/>
      <c r="K32" s="411"/>
      <c r="L32" s="36"/>
      <c r="M32" s="430" t="s">
        <v>14</v>
      </c>
      <c r="N32" s="431"/>
      <c r="O32" s="431"/>
      <c r="P32" s="431"/>
      <c r="Q32" s="431"/>
      <c r="R32" s="431"/>
      <c r="S32" s="431"/>
      <c r="T32" s="431"/>
      <c r="U32" s="431"/>
      <c r="V32" s="431"/>
      <c r="W32" s="432"/>
    </row>
    <row r="33" spans="1:23" ht="13.5" customHeight="1" x14ac:dyDescent="0.2">
      <c r="A33" s="232">
        <f>G31+1</f>
        <v>21</v>
      </c>
      <c r="B33" s="425" t="s">
        <v>404</v>
      </c>
      <c r="C33" s="425"/>
      <c r="D33" s="425"/>
      <c r="E33" s="419">
        <f>SUMIFS('Transfers log'!$G$6:$G$55,'Transfers log'!$C$6:$C$55,"EMPL",'Transfers log'!$E$6:$E$55,"EDTAP",'Transfers log'!$A$6:$A$55,"Period 1")-SUMIFS('Transfers log'!$G$6:$G$55,'Transfers log'!$C$6:$C$55,"EMPL",'Transfers log'!$E$6:$E$55,"EDTAP",'Transfers log'!$D$6:$D$55,"*member*",'Transfers log'!$A$6:$A$55,"Period 1")+SUMIFS('Transfers log'!G6:G55,'Transfers log'!C6:C55,"RGP",'Transfers log'!E6:E55,"EDTAP",'Transfers log'!A6:A55,"Period 1")</f>
        <v>0</v>
      </c>
      <c r="F33" s="420"/>
      <c r="G33" s="233">
        <f>A36+1</f>
        <v>25</v>
      </c>
      <c r="H33" s="426" t="s">
        <v>13</v>
      </c>
      <c r="I33" s="426"/>
      <c r="J33" s="426"/>
      <c r="K33" s="255">
        <f>D27</f>
        <v>0</v>
      </c>
      <c r="M33" s="232">
        <f>A33</f>
        <v>21</v>
      </c>
      <c r="N33" s="425" t="s">
        <v>404</v>
      </c>
      <c r="O33" s="425"/>
      <c r="P33" s="425"/>
      <c r="Q33" s="419">
        <f>SUMIFS('Transfers log'!$G$6:$G$55,'Transfers log'!$C$6:$C$55,"EMPL",'Transfers log'!$E$6:$E$55,"EDTAP",'Transfers log'!$A$6:$A$55,"Period 2")-SUMIFS('Transfers log'!$G$6:$G$55,'Transfers log'!$C$6:$C$55,"EMPL",'Transfers log'!$E$6:$E$55,"EDTAP",'Transfers log'!$D$6:$D$55,"*member*",'Transfers log'!$A$6:$A$55,"Period 2")+SUMIFS('Transfers log'!G6:G55,'Transfers log'!C6:C55,"RGP",'Transfers log'!E6:E55,"EDTAP",'Transfers log'!A6:A55,"Period 2")</f>
        <v>0</v>
      </c>
      <c r="R33" s="420"/>
      <c r="S33" s="233">
        <f>G33</f>
        <v>25</v>
      </c>
      <c r="T33" s="426" t="s">
        <v>13</v>
      </c>
      <c r="U33" s="426"/>
      <c r="V33" s="426"/>
      <c r="W33" s="255">
        <f>SUM(P11:P25)</f>
        <v>0</v>
      </c>
    </row>
    <row r="34" spans="1:23" ht="13.5" customHeight="1" x14ac:dyDescent="0.2">
      <c r="A34" s="232">
        <f>A33+1</f>
        <v>22</v>
      </c>
      <c r="B34" s="377" t="s">
        <v>361</v>
      </c>
      <c r="C34" s="377"/>
      <c r="D34" s="377"/>
      <c r="E34" s="419">
        <f>SUMIFS('Transfers log'!$G$6:$G$55,'Transfers log'!$C$6:$C$55,"EDTAP",'Transfers log'!$F$6:$F$55,"*regional system*",'Transfers log'!$A$6:$A$55,"Period 1")</f>
        <v>0</v>
      </c>
      <c r="F34" s="420"/>
      <c r="G34" s="233">
        <f>G33+1</f>
        <v>26</v>
      </c>
      <c r="H34" s="423" t="s">
        <v>12</v>
      </c>
      <c r="I34" s="424"/>
      <c r="J34" s="424"/>
      <c r="K34" s="255">
        <f>K33+E33+E35-E34-E36</f>
        <v>0</v>
      </c>
      <c r="M34" s="232">
        <f>A34</f>
        <v>22</v>
      </c>
      <c r="N34" s="377" t="s">
        <v>361</v>
      </c>
      <c r="O34" s="377"/>
      <c r="P34" s="377"/>
      <c r="Q34" s="419">
        <f>SUMIFS('Transfers log'!$G$6:$G$55,'Transfers log'!$C$6:$C$55,"EDTAP",'Transfers log'!$F$6:$F$55,"*regional system*",'Transfers log'!$A$6:$A$55,"Period 2")</f>
        <v>0</v>
      </c>
      <c r="R34" s="420"/>
      <c r="S34" s="233">
        <f>G34</f>
        <v>26</v>
      </c>
      <c r="T34" s="423" t="s">
        <v>12</v>
      </c>
      <c r="U34" s="424"/>
      <c r="V34" s="424"/>
      <c r="W34" s="255">
        <f>P26+W33+Q33+Q35-Q34-Q36</f>
        <v>0</v>
      </c>
    </row>
    <row r="35" spans="1:23" ht="13.5" customHeight="1" x14ac:dyDescent="0.2">
      <c r="A35" s="232">
        <f>A34+1</f>
        <v>23</v>
      </c>
      <c r="B35" s="234" t="s">
        <v>360</v>
      </c>
      <c r="C35" s="234"/>
      <c r="D35" s="200"/>
      <c r="E35" s="419">
        <f>SUMIFS('Transfers log'!$G$6:$G$55,'Transfers log'!$C$6:$C$55,"EDTAP",'Transfers log'!$E$6:$E$55,"EDTAP",'Transfers log'!$D$6:$D$55,"*member*",'Transfers log'!$A$6:$A$55,"Q1")+SUMIFS('Transfers log'!$G$6:$G$55,'Transfers log'!$C$6:$C$55,"EMPL",'Transfers log'!$E$6:$E$55,"EDTAP",'Transfers log'!$D$6:$D$55,"*member*",'Transfers log'!$A$6:$A$55,"Period 1")</f>
        <v>0</v>
      </c>
      <c r="F35" s="420"/>
      <c r="G35" s="233">
        <f>G34+1</f>
        <v>27</v>
      </c>
      <c r="H35" s="421" t="s">
        <v>18</v>
      </c>
      <c r="I35" s="422"/>
      <c r="J35" s="422"/>
      <c r="K35" s="255">
        <f>J27</f>
        <v>0</v>
      </c>
      <c r="M35" s="232">
        <f>A35</f>
        <v>23</v>
      </c>
      <c r="N35" s="234" t="s">
        <v>360</v>
      </c>
      <c r="O35" s="200"/>
      <c r="P35" s="200"/>
      <c r="Q35" s="419">
        <f>SUMIFS('Transfers log'!$G$6:$G$55,'Transfers log'!$C$6:$C$55,"EDTAP",'Transfers log'!$E$6:$E$55,"EDTAP",'Transfers log'!$D$6:$D$55,"*member*",'Transfers log'!$A$6:$A$55,"Period 2")+SUMIFS('Transfers log'!$G$6:$G$55,'Transfers log'!$C$6:$C$55,"EMPL",'Transfers log'!$E$6:$E$55,"EDTAP",'Transfers log'!$D$6:$D$55,"*member*",'Transfers log'!$A$6:$A$55,"Period 2")</f>
        <v>0</v>
      </c>
      <c r="R35" s="420"/>
      <c r="S35" s="233">
        <f>G35</f>
        <v>27</v>
      </c>
      <c r="T35" s="421" t="s">
        <v>18</v>
      </c>
      <c r="U35" s="422"/>
      <c r="V35" s="422"/>
      <c r="W35" s="255">
        <f>V27</f>
        <v>0</v>
      </c>
    </row>
    <row r="36" spans="1:23" ht="27" customHeight="1" thickBot="1" x14ac:dyDescent="0.25">
      <c r="A36" s="241">
        <f>A35+1</f>
        <v>24</v>
      </c>
      <c r="B36" s="414" t="s">
        <v>405</v>
      </c>
      <c r="C36" s="415"/>
      <c r="D36" s="416"/>
      <c r="E36" s="412">
        <f>SUMIFS('Transfers log'!$G$6:$G$55,'Transfers log'!$C$6:$C$55,"EDTAP",'Transfers log'!$E$6:$E$55,"JARC",'Transfers log'!$A$6:$A$55,"Period 1")+SUMIFS('Transfers log'!$G$6:$G$55,'Transfers log'!$C$6:$C$55,"EDTAP",'Transfers log'!$E$6:$E$55,"New Freedom",'Transfers log'!$A$6:$A$55,"Period 1")+SUMIFS('Transfers log'!$G$6:$G$55,'Transfers log'!$C$6:$C$55,"EDTAP",'Transfers log'!$E$6:$E$55,"5311 funds",'Transfers log'!$A$6:$A$55,"Period 1")+SUMIFS('Transfers log'!$G$6:$G$55,'Transfers log'!$C$6:$C$55,"EDTAP",'Transfers log'!$E$6:$E$55,"5307 funds",'Transfers log'!$A$6:$A$55,"Period 1")+SUMIFS('Transfers log'!$G$6:$G$55,'Transfers log'!$C$6:$C$55,"EDTAP",'Transfers log'!$E$6:$E$55,"5310 funds",'Transfers log'!$A$6:$A$55,"Period 1")+ SUMIFS('Transfers log'!$G$6:$G$55,'Transfers log'!$C$6:$C$55,"EDTAP",'Transfers log'!$E$6:$E$55,"Rural State Operating",'Transfers log'!$A$6:$A$55,"Period 1")</f>
        <v>0</v>
      </c>
      <c r="F36" s="413"/>
      <c r="G36" s="235">
        <f>G35+1</f>
        <v>28</v>
      </c>
      <c r="H36" s="417" t="s">
        <v>382</v>
      </c>
      <c r="I36" s="418"/>
      <c r="J36" s="418"/>
      <c r="K36" s="247">
        <f>K34-K35</f>
        <v>0</v>
      </c>
      <c r="M36" s="241">
        <f>A36</f>
        <v>24</v>
      </c>
      <c r="N36" s="414" t="s">
        <v>405</v>
      </c>
      <c r="O36" s="415"/>
      <c r="P36" s="416"/>
      <c r="Q36" s="412">
        <f>SUMIFS('Transfers log'!$G$6:$G$55,'Transfers log'!$C$6:$C$55,"EDTAP",'Transfers log'!$E$6:$E$55,"JARC",'Transfers log'!$A$6:$A$55,"Period 2")+SUMIFS('Transfers log'!$G$6:$G$55,'Transfers log'!$C$6:$C$55,"EDTAP",'Transfers log'!$E$6:$E$55,"New Freedom",'Transfers log'!$A$6:$A$55,"Period 2")+SUMIFS('Transfers log'!$G$6:$G$55,'Transfers log'!$C$6:$C$55,"EDTAP",'Transfers log'!$E$6:$E$55,"5311 funds",'Transfers log'!$A$6:$A$55,"Period 2")+SUMIFS('Transfers log'!$G$6:$G$55,'Transfers log'!$C$6:$C$55,"EDTAP",'Transfers log'!$E$6:$E$55,"5307 funds",'Transfers log'!$A$6:$A$55,"Period 2")+SUMIFS('Transfers log'!$G$6:$G$55,'Transfers log'!$C$6:$C$55,"EDTAP",'Transfers log'!$E$6:$E$55,"5310 funds",'Transfers log'!$A$6:$A$55,"Period 2")+ SUMIFS('Transfers log'!$G$6:$G$55,'Transfers log'!$C$6:$C$55,"EDTAP",'Transfers log'!$E$6:$E$55,"Rural State Operating",'Transfers log'!$A$6:$A$55,"Period 2")</f>
        <v>0</v>
      </c>
      <c r="R36" s="413"/>
      <c r="S36" s="235">
        <f>G36</f>
        <v>28</v>
      </c>
      <c r="T36" s="417" t="s">
        <v>382</v>
      </c>
      <c r="U36" s="418"/>
      <c r="V36" s="418"/>
      <c r="W36" s="247">
        <f>W34-W35</f>
        <v>0</v>
      </c>
    </row>
    <row r="37" spans="1:23" s="46" customFormat="1" ht="12.75" customHeight="1" x14ac:dyDescent="0.2">
      <c r="A37" s="40"/>
      <c r="B37" s="41"/>
      <c r="C37" s="41"/>
      <c r="D37" s="41"/>
      <c r="E37" s="42"/>
      <c r="F37" s="43"/>
      <c r="G37" s="44"/>
      <c r="H37" s="45"/>
      <c r="I37" s="45"/>
      <c r="J37" s="45"/>
      <c r="K37" s="42"/>
      <c r="L37" s="38"/>
      <c r="M37" s="40"/>
      <c r="N37" s="41"/>
      <c r="O37" s="41"/>
      <c r="P37" s="41"/>
      <c r="Q37" s="42"/>
      <c r="R37" s="43"/>
      <c r="S37" s="44"/>
      <c r="T37" s="45"/>
      <c r="U37" s="45"/>
      <c r="V37" s="45"/>
      <c r="W37" s="42"/>
    </row>
    <row r="38" spans="1:23" s="55" customFormat="1" ht="12.75" customHeight="1" x14ac:dyDescent="0.15">
      <c r="L38" s="30"/>
    </row>
    <row r="39" spans="1:23" s="56" customFormat="1" ht="12.75" customHeight="1" x14ac:dyDescent="0.15">
      <c r="L39" s="33"/>
    </row>
    <row r="40" spans="1:23" s="49" customFormat="1" ht="12.75" customHeight="1" x14ac:dyDescent="0.2">
      <c r="A40" s="57"/>
      <c r="B40" s="57"/>
      <c r="F40" s="57"/>
      <c r="G40" s="57"/>
      <c r="K40" s="57"/>
      <c r="L40" s="48"/>
      <c r="M40" s="57"/>
      <c r="N40" s="57"/>
      <c r="R40" s="57"/>
      <c r="S40" s="57"/>
      <c r="W40" s="57"/>
    </row>
    <row r="41" spans="1:23" s="49" customFormat="1" ht="12.75" customHeight="1" x14ac:dyDescent="0.2">
      <c r="A41" s="57"/>
      <c r="B41" s="57"/>
      <c r="F41" s="57"/>
      <c r="G41" s="57"/>
      <c r="K41" s="57"/>
      <c r="L41" s="48"/>
      <c r="M41" s="57"/>
      <c r="N41" s="57"/>
      <c r="R41" s="57"/>
      <c r="S41" s="57"/>
      <c r="W41" s="57"/>
    </row>
    <row r="42" spans="1:23" s="46" customFormat="1" ht="12.75" customHeight="1" x14ac:dyDescent="0.2">
      <c r="A42" s="58"/>
      <c r="B42" s="54"/>
      <c r="C42" s="54"/>
      <c r="D42" s="54"/>
      <c r="E42" s="54"/>
      <c r="F42" s="54"/>
      <c r="G42" s="54"/>
      <c r="H42" s="54"/>
      <c r="I42" s="54"/>
      <c r="J42" s="54"/>
      <c r="K42" s="54"/>
      <c r="L42" s="38"/>
      <c r="M42" s="58"/>
      <c r="N42" s="54"/>
      <c r="O42" s="54"/>
      <c r="P42" s="54"/>
      <c r="Q42" s="54"/>
      <c r="R42" s="54"/>
      <c r="S42" s="54"/>
      <c r="T42" s="54"/>
      <c r="U42" s="54"/>
      <c r="V42" s="54"/>
      <c r="W42" s="54"/>
    </row>
    <row r="43" spans="1:23" s="46" customFormat="1" ht="12.75" customHeight="1" x14ac:dyDescent="0.2">
      <c r="A43" s="40"/>
      <c r="B43" s="45"/>
      <c r="C43" s="45"/>
      <c r="D43" s="45"/>
      <c r="E43" s="42"/>
      <c r="F43" s="43"/>
      <c r="G43" s="44"/>
      <c r="H43" s="59"/>
      <c r="I43" s="59"/>
      <c r="J43" s="59"/>
      <c r="K43" s="42"/>
      <c r="L43" s="38"/>
      <c r="M43" s="40"/>
      <c r="N43" s="45"/>
      <c r="O43" s="45"/>
      <c r="P43" s="45"/>
      <c r="Q43" s="42"/>
      <c r="R43" s="43"/>
      <c r="S43" s="44"/>
      <c r="T43" s="59"/>
      <c r="U43" s="59"/>
      <c r="V43" s="59"/>
      <c r="W43" s="42"/>
    </row>
    <row r="44" spans="1:23" s="46" customFormat="1" ht="12.75" customHeight="1" x14ac:dyDescent="0.2">
      <c r="A44" s="40"/>
      <c r="B44" s="45"/>
      <c r="C44" s="45"/>
      <c r="D44" s="45"/>
      <c r="E44" s="42"/>
      <c r="F44" s="43"/>
      <c r="G44" s="44"/>
      <c r="H44" s="45"/>
      <c r="I44" s="45"/>
      <c r="J44" s="45"/>
      <c r="K44" s="42"/>
      <c r="L44" s="38"/>
      <c r="M44" s="40"/>
      <c r="N44" s="45"/>
      <c r="O44" s="45"/>
      <c r="P44" s="45"/>
      <c r="Q44" s="42"/>
      <c r="R44" s="43"/>
      <c r="S44" s="44"/>
      <c r="T44" s="45"/>
      <c r="U44" s="45"/>
      <c r="V44" s="45"/>
      <c r="W44" s="42"/>
    </row>
    <row r="45" spans="1:23" s="46" customFormat="1" ht="12.75" customHeight="1" x14ac:dyDescent="0.2">
      <c r="A45" s="40"/>
      <c r="B45" s="41"/>
      <c r="C45" s="41"/>
      <c r="D45" s="41"/>
      <c r="E45" s="42"/>
      <c r="F45" s="43"/>
      <c r="G45" s="44"/>
      <c r="H45" s="45"/>
      <c r="I45" s="45"/>
      <c r="J45" s="45"/>
      <c r="K45" s="42"/>
      <c r="L45" s="38"/>
      <c r="M45" s="40"/>
      <c r="N45" s="41"/>
      <c r="O45" s="41"/>
      <c r="P45" s="41"/>
      <c r="Q45" s="42"/>
      <c r="R45" s="43"/>
      <c r="S45" s="44"/>
      <c r="T45" s="45"/>
      <c r="U45" s="45"/>
      <c r="V45" s="45"/>
      <c r="W45" s="42"/>
    </row>
    <row r="46" spans="1:23" s="49" customFormat="1" ht="12.75" customHeight="1" x14ac:dyDescent="0.2">
      <c r="A46" s="40"/>
      <c r="B46" s="40"/>
      <c r="C46" s="40"/>
      <c r="D46" s="40"/>
      <c r="E46" s="40"/>
      <c r="F46" s="40"/>
      <c r="G46" s="40"/>
      <c r="H46" s="40"/>
      <c r="I46" s="40"/>
      <c r="J46" s="40"/>
      <c r="K46" s="60"/>
      <c r="L46" s="48"/>
      <c r="M46" s="40"/>
      <c r="N46" s="40"/>
      <c r="O46" s="40"/>
      <c r="P46" s="40"/>
      <c r="Q46" s="40"/>
      <c r="R46" s="40"/>
      <c r="S46" s="40"/>
      <c r="T46" s="40"/>
      <c r="U46" s="40"/>
      <c r="V46" s="40"/>
      <c r="W46" s="60"/>
    </row>
    <row r="47" spans="1:23" s="49" customFormat="1" ht="12.75" customHeight="1" x14ac:dyDescent="0.2">
      <c r="A47" s="50"/>
      <c r="B47" s="51"/>
      <c r="C47" s="51"/>
      <c r="D47" s="51"/>
      <c r="E47" s="51"/>
      <c r="F47" s="51"/>
      <c r="G47" s="51"/>
      <c r="H47" s="51"/>
      <c r="I47" s="51"/>
      <c r="J47" s="51"/>
      <c r="K47" s="51"/>
      <c r="L47" s="48"/>
      <c r="M47" s="50"/>
      <c r="N47" s="51"/>
      <c r="O47" s="51"/>
      <c r="P47" s="51"/>
      <c r="Q47" s="51"/>
      <c r="R47" s="51"/>
      <c r="S47" s="51"/>
      <c r="T47" s="51"/>
      <c r="U47" s="51"/>
      <c r="V47" s="51"/>
      <c r="W47" s="51"/>
    </row>
    <row r="48" spans="1:23" s="46" customFormat="1" ht="12.75" customHeight="1" x14ac:dyDescent="0.2">
      <c r="A48" s="52"/>
      <c r="B48" s="53"/>
      <c r="C48" s="53"/>
      <c r="D48" s="53"/>
      <c r="E48" s="53"/>
      <c r="F48" s="53"/>
      <c r="G48" s="53"/>
      <c r="H48" s="53"/>
      <c r="I48" s="53"/>
      <c r="J48" s="53"/>
      <c r="K48" s="53"/>
      <c r="L48" s="38"/>
      <c r="M48" s="52"/>
      <c r="N48" s="53"/>
      <c r="O48" s="53"/>
      <c r="P48" s="53"/>
      <c r="Q48" s="53"/>
      <c r="R48" s="53"/>
      <c r="S48" s="53"/>
      <c r="T48" s="53"/>
      <c r="U48" s="53"/>
      <c r="V48" s="53"/>
      <c r="W48" s="53"/>
    </row>
    <row r="49" spans="12:12" s="49" customFormat="1" x14ac:dyDescent="0.2">
      <c r="L49" s="48"/>
    </row>
  </sheetData>
  <sheetProtection algorithmName="SHA-512" hashValue="ODi0S3e3eousYrXSeFcq59jo3h90TWZcUhkfQgTAtWZxL2FaxfBXcrdjTjQ4HlYNXDWF1mdZlPKaS4konQdwIw==" saltValue="KCRQyQCgqV0W2rogA9QYog==" spinCount="100000" sheet="1" objects="1" scenarios="1"/>
  <dataConsolidate/>
  <customSheetViews>
    <customSheetView guid="{A35AF9FC-B28C-44AB-BD86-2EBB43718021}" showRuler="0">
      <selection activeCell="P37" sqref="P37"/>
      <pageMargins left="0.5" right="0.5" top="0.5" bottom="0.5" header="0.5" footer="0.5"/>
      <printOptions gridLines="1"/>
      <pageSetup orientation="portrait" r:id="rId1"/>
      <headerFooter alignWithMargins="0"/>
    </customSheetView>
    <customSheetView guid="{7A6E90D5-5AB3-47A8-A132-80E87DFA214A}" showPageBreaks="1" showRuler="0">
      <selection activeCell="O8" sqref="O8"/>
      <pageMargins left="0.5" right="0.5" top="0.5" bottom="0.5" header="0.5" footer="0.5"/>
      <printOptions gridLines="1"/>
      <pageSetup orientation="portrait" r:id="rId2"/>
      <headerFooter alignWithMargins="0"/>
    </customSheetView>
  </customSheetViews>
  <mergeCells count="126">
    <mergeCell ref="F15:G15"/>
    <mergeCell ref="F14:G14"/>
    <mergeCell ref="F12:G12"/>
    <mergeCell ref="M13:O13"/>
    <mergeCell ref="R13:S13"/>
    <mergeCell ref="M14:O14"/>
    <mergeCell ref="R14:S14"/>
    <mergeCell ref="M22:O22"/>
    <mergeCell ref="R22:S22"/>
    <mergeCell ref="M16:O16"/>
    <mergeCell ref="R16:S16"/>
    <mergeCell ref="M17:O17"/>
    <mergeCell ref="R17:S17"/>
    <mergeCell ref="M18:O18"/>
    <mergeCell ref="R18:S18"/>
    <mergeCell ref="M15:O15"/>
    <mergeCell ref="M19:O19"/>
    <mergeCell ref="R19:S19"/>
    <mergeCell ref="M20:O20"/>
    <mergeCell ref="R20:S20"/>
    <mergeCell ref="F18:G18"/>
    <mergeCell ref="F19:G19"/>
    <mergeCell ref="F20:G20"/>
    <mergeCell ref="M23:O23"/>
    <mergeCell ref="R23:S23"/>
    <mergeCell ref="M24:O24"/>
    <mergeCell ref="R24:S24"/>
    <mergeCell ref="M25:O25"/>
    <mergeCell ref="M9:O9"/>
    <mergeCell ref="A17:C17"/>
    <mergeCell ref="A11:C11"/>
    <mergeCell ref="A12:C12"/>
    <mergeCell ref="A13:C13"/>
    <mergeCell ref="A14:C14"/>
    <mergeCell ref="A15:C15"/>
    <mergeCell ref="A16:C16"/>
    <mergeCell ref="R15:S15"/>
    <mergeCell ref="R9:S9"/>
    <mergeCell ref="M10:O10"/>
    <mergeCell ref="R10:S10"/>
    <mergeCell ref="M11:O11"/>
    <mergeCell ref="R11:S11"/>
    <mergeCell ref="F16:G16"/>
    <mergeCell ref="F17:G17"/>
    <mergeCell ref="F10:G10"/>
    <mergeCell ref="M21:O21"/>
    <mergeCell ref="R21:S21"/>
    <mergeCell ref="M1:W1"/>
    <mergeCell ref="M2:W2"/>
    <mergeCell ref="N4:O4"/>
    <mergeCell ref="Q4:V4"/>
    <mergeCell ref="N6:O6"/>
    <mergeCell ref="Q6:T6"/>
    <mergeCell ref="M8:W8"/>
    <mergeCell ref="E35:F35"/>
    <mergeCell ref="H35:J35"/>
    <mergeCell ref="F9:G9"/>
    <mergeCell ref="M12:O12"/>
    <mergeCell ref="R12:S12"/>
    <mergeCell ref="H31:J31"/>
    <mergeCell ref="E31:F31"/>
    <mergeCell ref="F25:G25"/>
    <mergeCell ref="F27:G27"/>
    <mergeCell ref="F26:G26"/>
    <mergeCell ref="A30:K30"/>
    <mergeCell ref="F22:G22"/>
    <mergeCell ref="A27:C27"/>
    <mergeCell ref="A29:K29"/>
    <mergeCell ref="B34:D34"/>
    <mergeCell ref="E34:F34"/>
    <mergeCell ref="H34:J34"/>
    <mergeCell ref="M29:W29"/>
    <mergeCell ref="M30:W30"/>
    <mergeCell ref="N31:P31"/>
    <mergeCell ref="Q31:R31"/>
    <mergeCell ref="T31:V31"/>
    <mergeCell ref="M32:W32"/>
    <mergeCell ref="R25:S25"/>
    <mergeCell ref="M26:O26"/>
    <mergeCell ref="R26:S26"/>
    <mergeCell ref="M27:O27"/>
    <mergeCell ref="R27:S27"/>
    <mergeCell ref="M28:W28"/>
    <mergeCell ref="A32:K32"/>
    <mergeCell ref="E36:F36"/>
    <mergeCell ref="B36:D36"/>
    <mergeCell ref="H36:J36"/>
    <mergeCell ref="Q35:R35"/>
    <mergeCell ref="T35:V35"/>
    <mergeCell ref="N36:P36"/>
    <mergeCell ref="Q36:R36"/>
    <mergeCell ref="T36:V36"/>
    <mergeCell ref="N34:P34"/>
    <mergeCell ref="Q34:R34"/>
    <mergeCell ref="T34:V34"/>
    <mergeCell ref="B33:D33"/>
    <mergeCell ref="H33:J33"/>
    <mergeCell ref="E33:F33"/>
    <mergeCell ref="N33:P33"/>
    <mergeCell ref="Q33:R33"/>
    <mergeCell ref="T33:V33"/>
    <mergeCell ref="A10:C10"/>
    <mergeCell ref="A1:K1"/>
    <mergeCell ref="B4:C4"/>
    <mergeCell ref="B6:C6"/>
    <mergeCell ref="E6:H6"/>
    <mergeCell ref="A8:K8"/>
    <mergeCell ref="A2:K2"/>
    <mergeCell ref="A9:C9"/>
    <mergeCell ref="F13:G13"/>
    <mergeCell ref="E4:J4"/>
    <mergeCell ref="F11:G11"/>
    <mergeCell ref="F24:G24"/>
    <mergeCell ref="F21:G21"/>
    <mergeCell ref="F23:G23"/>
    <mergeCell ref="A18:C18"/>
    <mergeCell ref="A19:C19"/>
    <mergeCell ref="A20:C20"/>
    <mergeCell ref="A21:C21"/>
    <mergeCell ref="B31:D31"/>
    <mergeCell ref="A22:C22"/>
    <mergeCell ref="A23:C23"/>
    <mergeCell ref="A24:C24"/>
    <mergeCell ref="A25:C25"/>
    <mergeCell ref="A26:C26"/>
    <mergeCell ref="A28:K28"/>
  </mergeCells>
  <phoneticPr fontId="0" type="noConversion"/>
  <conditionalFormatting sqref="K36 P26 W36">
    <cfRule type="cellIs" dxfId="4" priority="3" stopIfTrue="1" operator="lessThan">
      <formula>0</formula>
    </cfRule>
  </conditionalFormatting>
  <dataValidations count="1">
    <dataValidation allowBlank="1" showInputMessage="1" showErrorMessage="1" prompt="This is the original amount sub-allocated to each service provider. This should reflect the total amount prior to transfers or adjustments." sqref="D11 P11" xr:uid="{00000000-0002-0000-0100-000000000000}"/>
  </dataValidations>
  <pageMargins left="0.5" right="0.5" top="0.7" bottom="0.6" header="0.5" footer="0.5"/>
  <pageSetup scale="40" fitToHeight="0" orientation="portrait"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'Transfer reference'!$A$3:$A$16</xm:f>
          </x14:formula1>
          <xm:sqref>A12:C25 M12:O25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pageSetUpPr fitToPage="1"/>
  </sheetPr>
  <dimension ref="A1:W41"/>
  <sheetViews>
    <sheetView showGridLines="0" zoomScaleNormal="100" workbookViewId="0">
      <selection activeCell="B6" sqref="B6:C6"/>
    </sheetView>
  </sheetViews>
  <sheetFormatPr defaultColWidth="9.140625" defaultRowHeight="12.75" x14ac:dyDescent="0.2"/>
  <cols>
    <col min="1" max="1" width="4.7109375" style="19" customWidth="1"/>
    <col min="2" max="2" width="19.7109375" style="19" customWidth="1"/>
    <col min="3" max="3" width="15.7109375" style="19" customWidth="1"/>
    <col min="4" max="4" width="11.7109375" style="19" customWidth="1"/>
    <col min="5" max="5" width="12.7109375" style="19" customWidth="1"/>
    <col min="6" max="6" width="6.42578125" style="19" customWidth="1"/>
    <col min="7" max="7" width="4.7109375" style="19" customWidth="1"/>
    <col min="8" max="10" width="10.7109375" style="19" customWidth="1"/>
    <col min="11" max="11" width="11.7109375" style="19" customWidth="1"/>
    <col min="12" max="12" width="1.85546875" style="18" customWidth="1"/>
    <col min="13" max="13" width="4.7109375" style="19" customWidth="1"/>
    <col min="14" max="14" width="19.7109375" style="19" customWidth="1"/>
    <col min="15" max="15" width="15.5703125" style="19" customWidth="1"/>
    <col min="16" max="16" width="11.7109375" style="19" customWidth="1"/>
    <col min="17" max="17" width="12.7109375" style="19" customWidth="1"/>
    <col min="18" max="18" width="6.42578125" style="19" customWidth="1"/>
    <col min="19" max="19" width="4.7109375" style="19" customWidth="1"/>
    <col min="20" max="22" width="10.7109375" style="19" customWidth="1"/>
    <col min="23" max="23" width="11.7109375" style="19" customWidth="1"/>
    <col min="24" max="16384" width="9.140625" style="19"/>
  </cols>
  <sheetData>
    <row r="1" spans="1:23" s="14" customFormat="1" ht="18" x14ac:dyDescent="0.25">
      <c r="A1" s="390" t="str">
        <f>EDTAP!A1</f>
        <v>FY20 Period 1 NCDOT ROAP Report</v>
      </c>
      <c r="B1" s="391"/>
      <c r="C1" s="391"/>
      <c r="D1" s="391"/>
      <c r="E1" s="391"/>
      <c r="F1" s="391"/>
      <c r="G1" s="391"/>
      <c r="H1" s="391"/>
      <c r="I1" s="391"/>
      <c r="J1" s="391"/>
      <c r="K1" s="392"/>
      <c r="L1" s="13"/>
      <c r="M1" s="447" t="str">
        <f>EDTAP!M1</f>
        <v>FY20 Period 2 NCDOT ROAP Report</v>
      </c>
      <c r="N1" s="448"/>
      <c r="O1" s="448"/>
      <c r="P1" s="448"/>
      <c r="Q1" s="448"/>
      <c r="R1" s="448"/>
      <c r="S1" s="448"/>
      <c r="T1" s="448"/>
      <c r="U1" s="448"/>
      <c r="V1" s="448"/>
      <c r="W1" s="449"/>
    </row>
    <row r="2" spans="1:23" s="14" customFormat="1" ht="15.75" x14ac:dyDescent="0.2">
      <c r="A2" s="400" t="s">
        <v>11</v>
      </c>
      <c r="B2" s="401"/>
      <c r="C2" s="401"/>
      <c r="D2" s="401"/>
      <c r="E2" s="401"/>
      <c r="F2" s="401"/>
      <c r="G2" s="401"/>
      <c r="H2" s="401"/>
      <c r="I2" s="401"/>
      <c r="J2" s="401"/>
      <c r="K2" s="402"/>
      <c r="L2" s="13"/>
      <c r="M2" s="450" t="s">
        <v>11</v>
      </c>
      <c r="N2" s="451"/>
      <c r="O2" s="451"/>
      <c r="P2" s="451"/>
      <c r="Q2" s="451"/>
      <c r="R2" s="451"/>
      <c r="S2" s="451"/>
      <c r="T2" s="451"/>
      <c r="U2" s="451"/>
      <c r="V2" s="451"/>
      <c r="W2" s="452"/>
    </row>
    <row r="3" spans="1:23" ht="9.75" customHeight="1" x14ac:dyDescent="0.2">
      <c r="A3" s="15"/>
      <c r="B3" s="16"/>
      <c r="C3" s="16"/>
      <c r="D3" s="16"/>
      <c r="E3" s="16"/>
      <c r="F3" s="16"/>
      <c r="G3" s="16"/>
      <c r="H3" s="16"/>
      <c r="I3" s="16"/>
      <c r="J3" s="16"/>
      <c r="K3" s="17"/>
      <c r="M3" s="15"/>
      <c r="N3" s="16"/>
      <c r="O3" s="16"/>
      <c r="P3" s="16"/>
      <c r="Q3" s="16"/>
      <c r="R3" s="16"/>
      <c r="S3" s="16"/>
      <c r="T3" s="16"/>
      <c r="U3" s="16"/>
      <c r="V3" s="16"/>
      <c r="W3" s="17"/>
    </row>
    <row r="4" spans="1:23" ht="12.75" customHeight="1" x14ac:dyDescent="0.2">
      <c r="A4" s="242">
        <f>EDTAP!G36+1</f>
        <v>29</v>
      </c>
      <c r="B4" s="393" t="s">
        <v>3</v>
      </c>
      <c r="C4" s="393"/>
      <c r="D4" s="20"/>
      <c r="E4" s="406">
        <f>Overview!D5</f>
        <v>0</v>
      </c>
      <c r="F4" s="407"/>
      <c r="G4" s="407"/>
      <c r="H4" s="407"/>
      <c r="I4" s="407"/>
      <c r="J4" s="408"/>
      <c r="K4" s="21"/>
      <c r="M4" s="242">
        <f>A4</f>
        <v>29</v>
      </c>
      <c r="N4" s="393" t="s">
        <v>3</v>
      </c>
      <c r="O4" s="393"/>
      <c r="P4" s="20"/>
      <c r="Q4" s="406">
        <f>E4</f>
        <v>0</v>
      </c>
      <c r="R4" s="407"/>
      <c r="S4" s="407"/>
      <c r="T4" s="407"/>
      <c r="U4" s="407"/>
      <c r="V4" s="408"/>
      <c r="W4" s="21"/>
    </row>
    <row r="5" spans="1:23" ht="8.25" customHeight="1" x14ac:dyDescent="0.2">
      <c r="A5" s="22"/>
      <c r="B5" s="23"/>
      <c r="C5" s="23"/>
      <c r="D5" s="23"/>
      <c r="E5" s="23"/>
      <c r="F5" s="23"/>
      <c r="G5" s="23"/>
      <c r="H5" s="23"/>
      <c r="I5" s="23"/>
      <c r="J5" s="23"/>
      <c r="K5" s="24"/>
      <c r="M5" s="22"/>
      <c r="N5" s="23"/>
      <c r="O5" s="23"/>
      <c r="P5" s="23"/>
      <c r="Q5" s="23"/>
      <c r="R5" s="23"/>
      <c r="S5" s="23"/>
      <c r="T5" s="23"/>
      <c r="U5" s="23"/>
      <c r="V5" s="23"/>
      <c r="W5" s="24"/>
    </row>
    <row r="6" spans="1:23" ht="12.75" customHeight="1" x14ac:dyDescent="0.2">
      <c r="A6" s="243">
        <f>A4+1</f>
        <v>30</v>
      </c>
      <c r="B6" s="393" t="s">
        <v>372</v>
      </c>
      <c r="C6" s="393"/>
      <c r="D6" s="4"/>
      <c r="E6" s="394">
        <f>Overview!D7</f>
        <v>43830</v>
      </c>
      <c r="F6" s="395"/>
      <c r="G6" s="395"/>
      <c r="H6" s="396"/>
      <c r="I6" s="23"/>
      <c r="J6" s="23"/>
      <c r="K6" s="24"/>
      <c r="M6" s="243">
        <f>A6</f>
        <v>30</v>
      </c>
      <c r="N6" s="393" t="s">
        <v>373</v>
      </c>
      <c r="O6" s="393"/>
      <c r="P6" s="4"/>
      <c r="Q6" s="463">
        <v>44012</v>
      </c>
      <c r="R6" s="464"/>
      <c r="S6" s="464"/>
      <c r="T6" s="465"/>
      <c r="U6" s="23"/>
      <c r="V6" s="23"/>
      <c r="W6" s="24"/>
    </row>
    <row r="7" spans="1:23" ht="12" customHeight="1" x14ac:dyDescent="0.2">
      <c r="A7" s="25"/>
      <c r="B7" s="26"/>
      <c r="C7" s="27"/>
      <c r="D7" s="27"/>
      <c r="E7" s="23"/>
      <c r="F7" s="23"/>
      <c r="G7" s="23"/>
      <c r="H7" s="23"/>
      <c r="I7" s="23"/>
      <c r="J7" s="23"/>
      <c r="K7" s="24"/>
      <c r="M7" s="25"/>
      <c r="N7" s="26"/>
      <c r="O7" s="27"/>
      <c r="P7" s="27"/>
      <c r="Q7" s="23"/>
      <c r="R7" s="23"/>
      <c r="S7" s="23"/>
      <c r="T7" s="23"/>
      <c r="U7" s="23"/>
      <c r="V7" s="23"/>
      <c r="W7" s="24"/>
    </row>
    <row r="8" spans="1:23" s="29" customFormat="1" ht="20.25" customHeight="1" x14ac:dyDescent="0.2">
      <c r="A8" s="397" t="s">
        <v>23</v>
      </c>
      <c r="B8" s="398"/>
      <c r="C8" s="398"/>
      <c r="D8" s="398"/>
      <c r="E8" s="398"/>
      <c r="F8" s="398"/>
      <c r="G8" s="398"/>
      <c r="H8" s="398"/>
      <c r="I8" s="398"/>
      <c r="J8" s="398"/>
      <c r="K8" s="399"/>
      <c r="L8" s="28"/>
      <c r="M8" s="453" t="s">
        <v>23</v>
      </c>
      <c r="N8" s="454"/>
      <c r="O8" s="454"/>
      <c r="P8" s="454"/>
      <c r="Q8" s="454"/>
      <c r="R8" s="454"/>
      <c r="S8" s="454"/>
      <c r="T8" s="454"/>
      <c r="U8" s="454"/>
      <c r="V8" s="454"/>
      <c r="W8" s="455"/>
    </row>
    <row r="9" spans="1:23" s="31" customFormat="1" ht="11.25" customHeight="1" x14ac:dyDescent="0.15">
      <c r="A9" s="403">
        <f>A6+1</f>
        <v>31</v>
      </c>
      <c r="B9" s="404"/>
      <c r="C9" s="405"/>
      <c r="D9" s="240">
        <f>A9+1</f>
        <v>32</v>
      </c>
      <c r="E9" s="240">
        <f>D9+1</f>
        <v>33</v>
      </c>
      <c r="F9" s="456">
        <f>E9+1</f>
        <v>34</v>
      </c>
      <c r="G9" s="405"/>
      <c r="H9" s="240">
        <f>F9+1</f>
        <v>35</v>
      </c>
      <c r="I9" s="240">
        <f>H9+1</f>
        <v>36</v>
      </c>
      <c r="J9" s="240">
        <f>I9+1</f>
        <v>37</v>
      </c>
      <c r="K9" s="150"/>
      <c r="L9" s="30"/>
      <c r="M9" s="403">
        <f>A9</f>
        <v>31</v>
      </c>
      <c r="N9" s="404"/>
      <c r="O9" s="405"/>
      <c r="P9" s="240">
        <f>D9</f>
        <v>32</v>
      </c>
      <c r="Q9" s="240">
        <f>E9</f>
        <v>33</v>
      </c>
      <c r="R9" s="456">
        <f>F9</f>
        <v>34</v>
      </c>
      <c r="S9" s="405"/>
      <c r="T9" s="240">
        <f>H9</f>
        <v>35</v>
      </c>
      <c r="U9" s="240">
        <f>I9</f>
        <v>36</v>
      </c>
      <c r="V9" s="240">
        <f>J9</f>
        <v>37</v>
      </c>
      <c r="W9" s="150"/>
    </row>
    <row r="10" spans="1:23" s="34" customFormat="1" ht="50.25" customHeight="1" x14ac:dyDescent="0.2">
      <c r="A10" s="387" t="s">
        <v>328</v>
      </c>
      <c r="B10" s="388"/>
      <c r="C10" s="389"/>
      <c r="D10" s="206" t="s">
        <v>362</v>
      </c>
      <c r="E10" s="206" t="s">
        <v>363</v>
      </c>
      <c r="F10" s="462" t="s">
        <v>366</v>
      </c>
      <c r="G10" s="389"/>
      <c r="H10" s="206" t="s">
        <v>364</v>
      </c>
      <c r="I10" s="206" t="s">
        <v>365</v>
      </c>
      <c r="J10" s="206" t="s">
        <v>318</v>
      </c>
      <c r="K10" s="262"/>
      <c r="L10" s="33"/>
      <c r="M10" s="387" t="s">
        <v>328</v>
      </c>
      <c r="N10" s="388"/>
      <c r="O10" s="389"/>
      <c r="P10" s="206" t="s">
        <v>362</v>
      </c>
      <c r="Q10" s="206" t="s">
        <v>363</v>
      </c>
      <c r="R10" s="462" t="s">
        <v>366</v>
      </c>
      <c r="S10" s="389"/>
      <c r="T10" s="206" t="s">
        <v>364</v>
      </c>
      <c r="U10" s="206" t="s">
        <v>365</v>
      </c>
      <c r="V10" s="206" t="s">
        <v>318</v>
      </c>
      <c r="W10" s="145"/>
    </row>
    <row r="11" spans="1:23" ht="15" customHeight="1" x14ac:dyDescent="0.2">
      <c r="A11" s="466">
        <f>Overview!D13</f>
        <v>0</v>
      </c>
      <c r="B11" s="467"/>
      <c r="C11" s="468"/>
      <c r="D11" s="324">
        <v>0</v>
      </c>
      <c r="E11" s="261">
        <f>SUMIFS('Transfers log'!$G$6:$G$55,'Transfers log'!$C$6:$C$55,"EMPL",'Transfers log'!$E$6:$E$55,"EMPL",'Transfers log'!$F$6:$F$55,A11,'Transfers log'!$A$6:$A$55,"Period 1")+SUMIFS('Transfers log'!$G$6:$G$55,'Transfers log'!$C$6:$C$55,"RGP",'Transfers log'!$E$6:$E$55,"EMPL",'Transfers log'!$F$6:$F$55,A11,'Transfers log'!$A$6:$A$55,"Period 1")-SUMIFS('Transfers log'!$G$6:$G$55,'Transfers log'!$C$6:$C$55,"EMPL",'Transfers log'!$D$6:$D$55,A11,'Transfers log'!$A$6:$A$55,"Period 1")</f>
        <v>0</v>
      </c>
      <c r="F11" s="469">
        <v>0</v>
      </c>
      <c r="G11" s="470"/>
      <c r="H11" s="325">
        <v>0</v>
      </c>
      <c r="I11" s="263">
        <f>F11-H11</f>
        <v>0</v>
      </c>
      <c r="J11" s="324">
        <v>0</v>
      </c>
      <c r="K11" s="264"/>
      <c r="M11" s="466">
        <f>A11</f>
        <v>0</v>
      </c>
      <c r="N11" s="467"/>
      <c r="O11" s="468"/>
      <c r="P11" s="324"/>
      <c r="Q11" s="261">
        <f>SUMIFS('Transfers log'!$G$6:$G$55,'Transfers log'!$C$6:$C$55,"EMPL",'Transfers log'!$E$6:$E$55,"EMPL",'Transfers log'!$F$6:$F$55,M11,'Transfers log'!$A$6:$A$55,"Period 2")+SUMIFS('Transfers log'!$G$6:$G$55,'Transfers log'!$C$6:$C$55,"RGP",'Transfers log'!$E$6:$E$55,"EMPL",'Transfers log'!$F$6:$F$55,A11,'Transfers log'!$A$6:$A$55,"Period 2")-SUMIFS('Transfers log'!$G$6:$G$55,'Transfers log'!$C$6:$C$55,"EMPL",'Transfers log'!$D$6:$D$55,M11,'Transfers log'!$A$6:$A$55,"Period 2")</f>
        <v>0</v>
      </c>
      <c r="R11" s="469">
        <v>0</v>
      </c>
      <c r="S11" s="470"/>
      <c r="T11" s="325">
        <v>0</v>
      </c>
      <c r="U11" s="263">
        <f>R11-T11</f>
        <v>0</v>
      </c>
      <c r="V11" s="324">
        <v>0</v>
      </c>
      <c r="W11" s="12"/>
    </row>
    <row r="12" spans="1:23" ht="15" customHeight="1" x14ac:dyDescent="0.2">
      <c r="A12" s="471"/>
      <c r="B12" s="472"/>
      <c r="C12" s="473"/>
      <c r="D12" s="324"/>
      <c r="E12" s="349">
        <f>SUMIFS('Transfers log'!$G$6:$G$55,'Transfers log'!$C$6:$C$55,"EMPL",'Transfers log'!$E$6:$E$55,"EMPL",'Transfers log'!$F$6:$F$55,A12,'Transfers log'!$A$6:$A$55,"Period 1")+SUMIFS('Transfers log'!$G$6:$G$55,'Transfers log'!$C$6:$C$55,"RGP",'Transfers log'!$E$6:$E$55,"EMPL",'Transfers log'!$F$6:$F$55,A12,'Transfers log'!$A$6:$A$55,"Period 1")-SUMIFS('Transfers log'!$G$6:$G$55,'Transfers log'!$C$6:$C$55,"EMPL",'Transfers log'!$D$6:$D$55,A12,'Transfers log'!$A$6:$A$55,"Period 1")</f>
        <v>0</v>
      </c>
      <c r="F12" s="469"/>
      <c r="G12" s="470"/>
      <c r="H12" s="325"/>
      <c r="I12" s="263">
        <f>F12-H12</f>
        <v>0</v>
      </c>
      <c r="J12" s="324"/>
      <c r="K12" s="264"/>
      <c r="M12" s="471"/>
      <c r="N12" s="472"/>
      <c r="O12" s="473"/>
      <c r="P12" s="324"/>
      <c r="Q12" s="349">
        <f>SUMIFS('Transfers log'!$G$6:$G$55,'Transfers log'!$C$6:$C$55,"EMPL",'Transfers log'!$E$6:$E$55,"EMPL",'Transfers log'!$F$6:$F$55,M12,'Transfers log'!$A$6:$A$55,"Period 2")+SUMIFS('Transfers log'!$G$6:$G$55,'Transfers log'!$C$6:$C$55,"RGP",'Transfers log'!$E$6:$E$55,"EMPL",'Transfers log'!$F$6:$F$55,A12,'Transfers log'!$A$6:$A$55,"Period 2")-SUMIFS('Transfers log'!$G$6:$G$55,'Transfers log'!$C$6:$C$55,"EMPL",'Transfers log'!$D$6:$D$55,M12,'Transfers log'!$A$6:$A$55,"Period 2")</f>
        <v>0</v>
      </c>
      <c r="R12" s="469"/>
      <c r="S12" s="470"/>
      <c r="T12" s="325"/>
      <c r="U12" s="263">
        <f>R12-T12</f>
        <v>0</v>
      </c>
      <c r="V12" s="324"/>
      <c r="W12" s="12"/>
    </row>
    <row r="13" spans="1:23" ht="15" customHeight="1" x14ac:dyDescent="0.2">
      <c r="A13" s="471"/>
      <c r="B13" s="472"/>
      <c r="C13" s="473"/>
      <c r="D13" s="324"/>
      <c r="E13" s="349">
        <f>SUMIFS('Transfers log'!$G$6:$G$55,'Transfers log'!$C$6:$C$55,"EMPL",'Transfers log'!$E$6:$E$55,"EMPL",'Transfers log'!$F$6:$F$55,A13,'Transfers log'!$A$6:$A$55,"Period 1")+SUMIFS('Transfers log'!$G$6:$G$55,'Transfers log'!$C$6:$C$55,"RGP",'Transfers log'!$E$6:$E$55,"EMPL",'Transfers log'!$F$6:$F$55,A13,'Transfers log'!$A$6:$A$55,"Period 1")-SUMIFS('Transfers log'!$G$6:$G$55,'Transfers log'!$C$6:$C$55,"EMPL",'Transfers log'!$D$6:$D$55,A13,'Transfers log'!$A$6:$A$55,"Period 1")</f>
        <v>0</v>
      </c>
      <c r="F13" s="469"/>
      <c r="G13" s="470"/>
      <c r="H13" s="325"/>
      <c r="I13" s="263">
        <f>F13-H13</f>
        <v>0</v>
      </c>
      <c r="J13" s="324"/>
      <c r="K13" s="264"/>
      <c r="M13" s="471"/>
      <c r="N13" s="472"/>
      <c r="O13" s="473"/>
      <c r="P13" s="324"/>
      <c r="Q13" s="349">
        <f>SUMIFS('Transfers log'!$G$6:$G$55,'Transfers log'!$C$6:$C$55,"EMPL",'Transfers log'!$E$6:$E$55,"EMPL",'Transfers log'!$F$6:$F$55,M13,'Transfers log'!$A$6:$A$55,"Period 2")+SUMIFS('Transfers log'!$G$6:$G$55,'Transfers log'!$C$6:$C$55,"RGP",'Transfers log'!$E$6:$E$55,"EMPL",'Transfers log'!$F$6:$F$55,A13,'Transfers log'!$A$6:$A$55,"Period 2")-SUMIFS('Transfers log'!$G$6:$G$55,'Transfers log'!$C$6:$C$55,"EMPL",'Transfers log'!$D$6:$D$55,M13,'Transfers log'!$A$6:$A$55,"Period 2")</f>
        <v>0</v>
      </c>
      <c r="R13" s="469"/>
      <c r="S13" s="470"/>
      <c r="T13" s="325"/>
      <c r="U13" s="263">
        <f>R13-T13</f>
        <v>0</v>
      </c>
      <c r="V13" s="324"/>
      <c r="W13" s="12"/>
    </row>
    <row r="14" spans="1:23" ht="15" customHeight="1" x14ac:dyDescent="0.2">
      <c r="A14" s="474"/>
      <c r="B14" s="475"/>
      <c r="C14" s="476"/>
      <c r="D14" s="311"/>
      <c r="E14" s="265"/>
      <c r="F14" s="477"/>
      <c r="G14" s="478"/>
      <c r="H14" s="265"/>
      <c r="I14" s="265"/>
      <c r="J14" s="265"/>
      <c r="K14" s="264"/>
      <c r="M14" s="474" t="s">
        <v>388</v>
      </c>
      <c r="N14" s="475"/>
      <c r="O14" s="476"/>
      <c r="P14" s="261">
        <f>K24</f>
        <v>0</v>
      </c>
      <c r="Q14" s="265"/>
      <c r="R14" s="477"/>
      <c r="S14" s="478"/>
      <c r="T14" s="265"/>
      <c r="U14" s="265"/>
      <c r="V14" s="265"/>
      <c r="W14" s="12"/>
    </row>
    <row r="15" spans="1:23" ht="15" customHeight="1" x14ac:dyDescent="0.2">
      <c r="A15" s="479" t="s">
        <v>0</v>
      </c>
      <c r="B15" s="480"/>
      <c r="C15" s="481"/>
      <c r="D15" s="266">
        <f>SUM(D11:D14)</f>
        <v>0</v>
      </c>
      <c r="E15" s="266">
        <f>SUM(E11:E13)</f>
        <v>0</v>
      </c>
      <c r="F15" s="482">
        <f>SUM(F11:G13)</f>
        <v>0</v>
      </c>
      <c r="G15" s="482"/>
      <c r="H15" s="267">
        <f>SUM(H11:H13)</f>
        <v>0</v>
      </c>
      <c r="I15" s="267">
        <f>SUM(I11:I13)</f>
        <v>0</v>
      </c>
      <c r="J15" s="266">
        <f>SUM(J11:J13)</f>
        <v>0</v>
      </c>
      <c r="K15" s="264"/>
      <c r="M15" s="479" t="s">
        <v>0</v>
      </c>
      <c r="N15" s="480"/>
      <c r="O15" s="481"/>
      <c r="P15" s="266">
        <f>SUM(P11:P14)</f>
        <v>0</v>
      </c>
      <c r="Q15" s="266">
        <f>SUM(Q11:Q13)</f>
        <v>0</v>
      </c>
      <c r="R15" s="482">
        <f>SUM(R11:S13)</f>
        <v>0</v>
      </c>
      <c r="S15" s="482"/>
      <c r="T15" s="267">
        <f>SUM(T11:T13)</f>
        <v>0</v>
      </c>
      <c r="U15" s="267">
        <f>SUM(U11:U13)</f>
        <v>0</v>
      </c>
      <c r="V15" s="266">
        <f>SUM(V11:V13)</f>
        <v>0</v>
      </c>
      <c r="W15" s="12"/>
    </row>
    <row r="16" spans="1:23" ht="32.25" customHeight="1" x14ac:dyDescent="0.2">
      <c r="A16" s="384" t="s">
        <v>37</v>
      </c>
      <c r="B16" s="385"/>
      <c r="C16" s="385"/>
      <c r="D16" s="385"/>
      <c r="E16" s="385"/>
      <c r="F16" s="385"/>
      <c r="G16" s="385"/>
      <c r="H16" s="385"/>
      <c r="I16" s="385"/>
      <c r="J16" s="385"/>
      <c r="K16" s="386"/>
      <c r="M16" s="444" t="s">
        <v>37</v>
      </c>
      <c r="N16" s="445"/>
      <c r="O16" s="445"/>
      <c r="P16" s="445"/>
      <c r="Q16" s="445"/>
      <c r="R16" s="445"/>
      <c r="S16" s="445"/>
      <c r="T16" s="445"/>
      <c r="U16" s="445"/>
      <c r="V16" s="445"/>
      <c r="W16" s="446"/>
    </row>
    <row r="17" spans="1:23" ht="60.75" customHeight="1" x14ac:dyDescent="0.2">
      <c r="A17" s="427"/>
      <c r="B17" s="428"/>
      <c r="C17" s="428"/>
      <c r="D17" s="428"/>
      <c r="E17" s="428"/>
      <c r="F17" s="428"/>
      <c r="G17" s="428"/>
      <c r="H17" s="428"/>
      <c r="I17" s="428"/>
      <c r="J17" s="428"/>
      <c r="K17" s="429"/>
      <c r="M17" s="427"/>
      <c r="N17" s="428"/>
      <c r="O17" s="428"/>
      <c r="P17" s="428"/>
      <c r="Q17" s="428"/>
      <c r="R17" s="428"/>
      <c r="S17" s="428"/>
      <c r="T17" s="428"/>
      <c r="U17" s="428"/>
      <c r="V17" s="428"/>
      <c r="W17" s="429"/>
    </row>
    <row r="18" spans="1:23" s="37" customFormat="1" ht="13.5" customHeight="1" x14ac:dyDescent="0.2">
      <c r="A18" s="483" t="s">
        <v>390</v>
      </c>
      <c r="B18" s="484"/>
      <c r="C18" s="484"/>
      <c r="D18" s="484"/>
      <c r="E18" s="484"/>
      <c r="F18" s="484"/>
      <c r="G18" s="484"/>
      <c r="H18" s="484"/>
      <c r="I18" s="484"/>
      <c r="J18" s="484"/>
      <c r="K18" s="485"/>
      <c r="L18" s="36"/>
      <c r="M18" s="486" t="s">
        <v>390</v>
      </c>
      <c r="N18" s="487"/>
      <c r="O18" s="487"/>
      <c r="P18" s="487"/>
      <c r="Q18" s="487"/>
      <c r="R18" s="487"/>
      <c r="S18" s="487"/>
      <c r="T18" s="487"/>
      <c r="U18" s="487"/>
      <c r="V18" s="487"/>
      <c r="W18" s="488"/>
    </row>
    <row r="19" spans="1:23" s="39" customFormat="1" ht="13.5" customHeight="1" x14ac:dyDescent="0.2">
      <c r="A19" s="232">
        <f>J9+1</f>
        <v>38</v>
      </c>
      <c r="B19" s="377" t="s">
        <v>25</v>
      </c>
      <c r="C19" s="377"/>
      <c r="D19" s="377"/>
      <c r="E19" s="433">
        <v>0</v>
      </c>
      <c r="F19" s="434"/>
      <c r="G19" s="233">
        <f>A19+1</f>
        <v>39</v>
      </c>
      <c r="H19" s="435" t="s">
        <v>26</v>
      </c>
      <c r="I19" s="436"/>
      <c r="J19" s="437"/>
      <c r="K19" s="323">
        <v>0</v>
      </c>
      <c r="L19" s="38"/>
      <c r="M19" s="232">
        <f>A19</f>
        <v>38</v>
      </c>
      <c r="N19" s="377" t="s">
        <v>25</v>
      </c>
      <c r="O19" s="377"/>
      <c r="P19" s="377"/>
      <c r="Q19" s="433">
        <v>0</v>
      </c>
      <c r="R19" s="434"/>
      <c r="S19" s="233">
        <f>G19</f>
        <v>39</v>
      </c>
      <c r="T19" s="435" t="s">
        <v>26</v>
      </c>
      <c r="U19" s="436"/>
      <c r="V19" s="437"/>
      <c r="W19" s="323">
        <v>0</v>
      </c>
    </row>
    <row r="20" spans="1:23" s="37" customFormat="1" ht="13.5" customHeight="1" x14ac:dyDescent="0.2">
      <c r="A20" s="483" t="s">
        <v>28</v>
      </c>
      <c r="B20" s="484"/>
      <c r="C20" s="484"/>
      <c r="D20" s="484"/>
      <c r="E20" s="484"/>
      <c r="F20" s="484"/>
      <c r="G20" s="484"/>
      <c r="H20" s="484"/>
      <c r="I20" s="484"/>
      <c r="J20" s="484"/>
      <c r="K20" s="485"/>
      <c r="L20" s="36"/>
      <c r="M20" s="486" t="s">
        <v>28</v>
      </c>
      <c r="N20" s="487"/>
      <c r="O20" s="487"/>
      <c r="P20" s="487"/>
      <c r="Q20" s="487"/>
      <c r="R20" s="487"/>
      <c r="S20" s="487"/>
      <c r="T20" s="487"/>
      <c r="U20" s="487"/>
      <c r="V20" s="487"/>
      <c r="W20" s="488"/>
    </row>
    <row r="21" spans="1:23" ht="13.5" customHeight="1" x14ac:dyDescent="0.2">
      <c r="A21" s="232">
        <f>G19+1</f>
        <v>40</v>
      </c>
      <c r="B21" s="425" t="s">
        <v>406</v>
      </c>
      <c r="C21" s="425"/>
      <c r="D21" s="425"/>
      <c r="E21" s="419">
        <f>-SUMIFS('Transfers log'!$G$6:$G$55,'Transfers log'!$C$6:$C$55,"EMPL",'Transfers log'!$E$6:$E$55,"EDTAP",'Transfers log'!$A$6:$A$55,"Period 1")-SUMIFS('Transfers log'!$G$6:$G$55,'Transfers log'!$C$6:$C$55,"EMPL",'Transfers log'!$E$6:$E$55,"RGP",'Transfers log'!$A$6:$A$55,"Period 1")+SUMIFS('Transfers log'!$G$6:$G$55,'Transfers log'!$C$6:$C$55,"EMPL",'Transfers log'!$E$6:$E$55,"EDTAP",'Transfers log'!$D$6:$D$55,"*member*",'Transfers log'!$A$6:$A$55,"Period 1")+SUMIFS('Transfers log'!$G$6:$G$55,'Transfers log'!$C$6:$C$55,"EMPL",'Transfers log'!$E$6:$E$55,"RGP",'Transfers log'!$D$6:$D$55,"*member*",'Transfers log'!$A$6:$A$55,"Period 1")+SUMIFS('Transfers log'!$G$6:$G$55,'Transfers log'!$C$6:$C$55,"EMPL",'Transfers log'!$E$6:$E$55,"EDTAP",'Transfers log'!$F$6:$F$55,"*member*",'Transfers log'!$A$6:$A$55,"Period 1")+SUMIFS('Transfers log'!$G$6:$G$55,'Transfers log'!$C$6:$C$55,"RGP",'Transfers log'!$E$6:$E$55,"EMPL",'Transfers log'!$A$6:$A$55,"Period 1")</f>
        <v>0</v>
      </c>
      <c r="F21" s="420"/>
      <c r="G21" s="233">
        <f>A24+1</f>
        <v>44</v>
      </c>
      <c r="H21" s="426" t="s">
        <v>27</v>
      </c>
      <c r="I21" s="426"/>
      <c r="J21" s="426"/>
      <c r="K21" s="246">
        <f>D15</f>
        <v>0</v>
      </c>
      <c r="M21" s="232">
        <f>A21</f>
        <v>40</v>
      </c>
      <c r="N21" s="425" t="s">
        <v>406</v>
      </c>
      <c r="O21" s="425"/>
      <c r="P21" s="425"/>
      <c r="Q21" s="419">
        <f>-SUMIFS('Transfers log'!$G$6:$G$55,'Transfers log'!$C$6:$C$55,"EMPL",'Transfers log'!$E$6:$E$55,"EDTAP",'Transfers log'!$A$6:$A$55,"Period 2")-SUMIFS('Transfers log'!$G$6:$G$55,'Transfers log'!$C$6:$C$55,"EMPL",'Transfers log'!$E$6:$E$55,"RGP",'Transfers log'!$A$6:$A$55,"Period 2")+SUMIFS('Transfers log'!$G$6:$G$55,'Transfers log'!$C$6:$C$55,"EMPL",'Transfers log'!$E$6:$E$55,"EDTAP",'Transfers log'!$D$6:$D$55,"*member*",'Transfers log'!$A$6:$A$55,"Period 2")+SUMIFS('Transfers log'!$G$6:$G$55,'Transfers log'!$C$6:$C$55,"EMPL",'Transfers log'!$E$6:$E$55,"RGP",'Transfers log'!$D$6:$D$55,"*member*",'Transfers log'!$A$6:$A$55,"Period 2")+SUMIFS('Transfers log'!$G$6:$G$55,'Transfers log'!$C$6:$C$55,"EMPL",'Transfers log'!$E$6:$E$55,"EDTAP",'Transfers log'!$F$6:$F$55,"*member*",'Transfers log'!$A$6:$A$55,"Period 2")+SUMIFS('Transfers log'!$G$6:$G$55,'Transfers log'!$C$6:$C$55,"RGP",'Transfers log'!$E$6:$E$55,"EMPL",'Transfers log'!$A$6:$A$55,"Period 2")</f>
        <v>0</v>
      </c>
      <c r="R21" s="420"/>
      <c r="S21" s="233">
        <f>G21</f>
        <v>44</v>
      </c>
      <c r="T21" s="435" t="s">
        <v>27</v>
      </c>
      <c r="U21" s="436"/>
      <c r="V21" s="437"/>
      <c r="W21" s="246">
        <f>SUM(P11:P13)</f>
        <v>0</v>
      </c>
    </row>
    <row r="22" spans="1:23" ht="13.5" customHeight="1" x14ac:dyDescent="0.2">
      <c r="A22" s="232">
        <f>A21+1</f>
        <v>41</v>
      </c>
      <c r="B22" s="377" t="s">
        <v>325</v>
      </c>
      <c r="C22" s="377"/>
      <c r="D22" s="377"/>
      <c r="E22" s="419">
        <f>SUMIFS('Transfers log'!$G$6:$G$55,'Transfers log'!$C$6:$C$55,"EMPL",'Transfers log'!$F$6:$F$55,"*regional system*",'Transfers log'!$A$6:$A$55,"Period 1")</f>
        <v>0</v>
      </c>
      <c r="F22" s="420"/>
      <c r="G22" s="233">
        <f>G21+1</f>
        <v>45</v>
      </c>
      <c r="H22" s="423" t="s">
        <v>24</v>
      </c>
      <c r="I22" s="424"/>
      <c r="J22" s="424"/>
      <c r="K22" s="246">
        <f>K21+E21+E23-E22-E24</f>
        <v>0</v>
      </c>
      <c r="M22" s="232">
        <f>A22</f>
        <v>41</v>
      </c>
      <c r="N22" s="377" t="s">
        <v>325</v>
      </c>
      <c r="O22" s="377"/>
      <c r="P22" s="377"/>
      <c r="Q22" s="419">
        <f>SUMIFS('Transfers log'!$G$6:$G$55,'Transfers log'!$C$6:$C$55,"EMPL",'Transfers log'!$F$6:$F$55,"*regional system*",'Transfers log'!$A$6:$A$55,"Period 2")</f>
        <v>0</v>
      </c>
      <c r="R22" s="420"/>
      <c r="S22" s="233">
        <f>G22</f>
        <v>45</v>
      </c>
      <c r="T22" s="423" t="s">
        <v>24</v>
      </c>
      <c r="U22" s="424"/>
      <c r="V22" s="424"/>
      <c r="W22" s="246">
        <f>P14+W21+Q21+Q23-Q22-Q24</f>
        <v>0</v>
      </c>
    </row>
    <row r="23" spans="1:23" ht="13.5" customHeight="1" x14ac:dyDescent="0.2">
      <c r="A23" s="232">
        <f>A22+1</f>
        <v>42</v>
      </c>
      <c r="B23" s="489" t="s">
        <v>326</v>
      </c>
      <c r="C23" s="490"/>
      <c r="D23" s="491"/>
      <c r="E23" s="419">
        <f>SUMIFS('Transfers log'!$G$6:$G$55,'Transfers log'!$E$6:$E$55,"EMPL",'Transfers log'!$D$6:$D$55,"*member*",'Transfers log'!$A$6:$A$55,"Period 1")</f>
        <v>0</v>
      </c>
      <c r="F23" s="420"/>
      <c r="G23" s="233">
        <f>G22+1</f>
        <v>46</v>
      </c>
      <c r="H23" s="421" t="s">
        <v>29</v>
      </c>
      <c r="I23" s="422"/>
      <c r="J23" s="422"/>
      <c r="K23" s="246">
        <f>J15</f>
        <v>0</v>
      </c>
      <c r="M23" s="232">
        <f>A23</f>
        <v>42</v>
      </c>
      <c r="N23" s="489" t="s">
        <v>326</v>
      </c>
      <c r="O23" s="490"/>
      <c r="P23" s="491"/>
      <c r="Q23" s="419">
        <f>SUMIFS('Transfers log'!$G$6:$G$55,'Transfers log'!$E$6:$E$55,"EMPL",'Transfers log'!$D$6:$D$55,"*member*",'Transfers log'!$A$6:$A$55,"Period 2")</f>
        <v>0</v>
      </c>
      <c r="R23" s="420"/>
      <c r="S23" s="233">
        <f>G23</f>
        <v>46</v>
      </c>
      <c r="T23" s="421" t="s">
        <v>29</v>
      </c>
      <c r="U23" s="422"/>
      <c r="V23" s="422"/>
      <c r="W23" s="246">
        <f>V15</f>
        <v>0</v>
      </c>
    </row>
    <row r="24" spans="1:23" ht="27" customHeight="1" thickBot="1" x14ac:dyDescent="0.25">
      <c r="A24" s="241">
        <f>A23+1</f>
        <v>43</v>
      </c>
      <c r="B24" s="414" t="s">
        <v>408</v>
      </c>
      <c r="C24" s="415"/>
      <c r="D24" s="416"/>
      <c r="E24" s="412">
        <f>SUMIFS('Transfers log'!$G$6:$G$55,'Transfers log'!$C$6:$C$55,"EMPL",'Transfers log'!$E$6:$E$55,"JARC",'Transfers log'!$A$6:$A$55,"Period 1")+SUMIFS('Transfers log'!$G$6:$G$55,'Transfers log'!$C$6:$C$55,"EMPL",'Transfers log'!$E$6:$E$55,"New Freedom",'Transfers log'!$A$6:$A$55,"Period 1")+SUMIFS('Transfers log'!$G$6:$G$55,'Transfers log'!$C$6:$C$55,"EMPL",'Transfers log'!$E$6:$E$55,"5311 funds",'Transfers log'!$A$6:$A$55,"Period 1")+SUMIFS('Transfers log'!$G$6:$G$55,'Transfers log'!$C$6:$C$55,"EMPL",'Transfers log'!$E$6:$E$55,"5307 funds",'Transfers log'!$A$6:$A$55,"Period 1")+SUMIFS('Transfers log'!$G$6:$G$55,'Transfers log'!$C$6:$C$55,"EMPL",'Transfers log'!$E$6:$E$55,"5310 funds",'Transfers log'!$A$6:$A$55,"Period 1")+ SUMIFS('Transfers log'!$G$6:$G$55,'Transfers log'!$C$6:$C$55,"EMPL",'Transfers log'!$E$6:$E$55,"Rural State Operating",'Transfers log'!$A$6:$A$55,"Period 1")</f>
        <v>0</v>
      </c>
      <c r="F24" s="413"/>
      <c r="G24" s="235">
        <f>G23+1</f>
        <v>47</v>
      </c>
      <c r="H24" s="417" t="s">
        <v>330</v>
      </c>
      <c r="I24" s="418"/>
      <c r="J24" s="418"/>
      <c r="K24" s="247">
        <f>K22-K23</f>
        <v>0</v>
      </c>
      <c r="M24" s="241">
        <f>A24</f>
        <v>43</v>
      </c>
      <c r="N24" s="414" t="s">
        <v>408</v>
      </c>
      <c r="O24" s="415"/>
      <c r="P24" s="416"/>
      <c r="Q24" s="412">
        <f>SUMIFS('Transfers log'!$G$6:$G$55,'Transfers log'!$C$6:$C$55,"EMPL",'Transfers log'!$E$6:$E$55,"JARC",'Transfers log'!$A$6:$A$55,"Period 2")+SUMIFS('Transfers log'!$G$6:$G$55,'Transfers log'!$C$6:$C$55,"EMPL",'Transfers log'!$E$6:$E$55,"New Freedom",'Transfers log'!$A$6:$A$55,"Period 2")+SUMIFS('Transfers log'!$G$6:$G$55,'Transfers log'!$C$6:$C$55,"EMPL",'Transfers log'!$E$6:$E$55,"5311 funds",'Transfers log'!$A$6:$A$55,"Period 2")+SUMIFS('Transfers log'!$G$6:$G$55,'Transfers log'!$C$6:$C$55,"EMPL",'Transfers log'!$E$6:$E$55,"5307 funds",'Transfers log'!$A$6:$A$55,"Period 2")+SUMIFS('Transfers log'!$G$6:$G$55,'Transfers log'!$C$6:$C$55,"EMPL",'Transfers log'!$E$6:$E$55,"5310 funds",'Transfers log'!$A$6:$A$55,"Period 2")+ SUMIFS('Transfers log'!$G$6:$G$55,'Transfers log'!$C$6:$C$55,"EMPL",'Transfers log'!$E$6:$E$55,"Rural State Operating",'Transfers log'!$A$6:$A$55,"Period 2")</f>
        <v>0</v>
      </c>
      <c r="R24" s="413"/>
      <c r="S24" s="235">
        <f>G24</f>
        <v>47</v>
      </c>
      <c r="T24" s="417" t="s">
        <v>330</v>
      </c>
      <c r="U24" s="418"/>
      <c r="V24" s="418"/>
      <c r="W24" s="247">
        <f>W22-W23</f>
        <v>0</v>
      </c>
    </row>
    <row r="25" spans="1:23" s="46" customFormat="1" ht="12.75" customHeight="1" x14ac:dyDescent="0.2">
      <c r="A25" s="40"/>
      <c r="B25" s="41"/>
      <c r="C25" s="41"/>
      <c r="D25" s="41"/>
      <c r="E25" s="42"/>
      <c r="F25" s="43"/>
      <c r="G25" s="44"/>
      <c r="H25" s="45"/>
      <c r="I25" s="45"/>
      <c r="J25" s="45"/>
      <c r="K25" s="42"/>
      <c r="L25" s="38"/>
      <c r="M25" s="40"/>
      <c r="N25" s="41"/>
      <c r="O25" s="41"/>
      <c r="P25" s="41"/>
      <c r="Q25" s="42"/>
      <c r="R25" s="43"/>
      <c r="S25" s="44"/>
      <c r="T25" s="45"/>
      <c r="U25" s="45"/>
      <c r="V25" s="45"/>
      <c r="W25" s="42"/>
    </row>
    <row r="26" spans="1:23" s="49" customFormat="1" ht="12.75" customHeight="1" x14ac:dyDescent="0.2">
      <c r="A26" s="40"/>
      <c r="B26" s="40"/>
      <c r="C26" s="40"/>
      <c r="D26" s="40"/>
      <c r="E26" s="40"/>
      <c r="F26" s="40"/>
      <c r="G26" s="40"/>
      <c r="H26" s="40"/>
      <c r="I26" s="40"/>
      <c r="J26" s="40"/>
      <c r="K26" s="47"/>
      <c r="L26" s="48"/>
      <c r="M26" s="40"/>
      <c r="N26" s="40"/>
      <c r="O26" s="40"/>
      <c r="P26" s="40"/>
      <c r="Q26" s="40"/>
      <c r="R26" s="40"/>
      <c r="S26" s="40"/>
      <c r="T26" s="40"/>
      <c r="U26" s="40"/>
      <c r="V26" s="40"/>
      <c r="W26" s="47"/>
    </row>
    <row r="27" spans="1:23" s="49" customFormat="1" ht="12.75" customHeight="1" x14ac:dyDescent="0.2">
      <c r="A27" s="50"/>
      <c r="B27" s="51"/>
      <c r="C27" s="51"/>
      <c r="D27" s="51"/>
      <c r="E27" s="51"/>
      <c r="F27" s="51"/>
      <c r="G27" s="51"/>
      <c r="H27" s="51"/>
      <c r="I27" s="51"/>
      <c r="J27" s="51"/>
      <c r="K27" s="51"/>
      <c r="L27" s="48"/>
      <c r="M27" s="50"/>
      <c r="N27" s="51"/>
      <c r="O27" s="51"/>
      <c r="P27" s="51"/>
      <c r="Q27" s="51"/>
      <c r="R27" s="51"/>
      <c r="S27" s="51"/>
      <c r="T27" s="51"/>
      <c r="U27" s="51"/>
      <c r="V27" s="51"/>
      <c r="W27" s="51"/>
    </row>
    <row r="28" spans="1:23" s="46" customFormat="1" ht="12.75" customHeight="1" x14ac:dyDescent="0.2">
      <c r="A28" s="52"/>
      <c r="B28" s="53"/>
      <c r="C28" s="53"/>
      <c r="D28" s="53"/>
      <c r="E28" s="53"/>
      <c r="F28" s="53"/>
      <c r="G28" s="53"/>
      <c r="H28" s="53"/>
      <c r="I28" s="53"/>
      <c r="J28" s="53"/>
      <c r="K28" s="53"/>
      <c r="L28" s="38"/>
      <c r="M28" s="52"/>
      <c r="N28" s="53"/>
      <c r="O28" s="53"/>
      <c r="P28" s="53"/>
      <c r="Q28" s="53"/>
      <c r="R28" s="53"/>
      <c r="S28" s="53"/>
      <c r="T28" s="53"/>
      <c r="U28" s="53"/>
      <c r="V28" s="53"/>
      <c r="W28" s="53"/>
    </row>
    <row r="29" spans="1:23" s="49" customFormat="1" ht="12.75" customHeight="1" x14ac:dyDescent="0.2">
      <c r="A29" s="54"/>
      <c r="B29" s="54"/>
      <c r="C29" s="54"/>
      <c r="D29" s="54"/>
      <c r="E29" s="54"/>
      <c r="F29" s="54"/>
      <c r="G29" s="54"/>
      <c r="H29" s="54"/>
      <c r="I29" s="54"/>
      <c r="J29" s="54"/>
      <c r="K29" s="54"/>
      <c r="L29" s="48"/>
      <c r="M29" s="54"/>
      <c r="N29" s="54"/>
      <c r="O29" s="54"/>
      <c r="P29" s="54"/>
      <c r="Q29" s="54"/>
      <c r="R29" s="54"/>
      <c r="S29" s="54"/>
      <c r="T29" s="54"/>
      <c r="U29" s="54"/>
      <c r="V29" s="54"/>
      <c r="W29" s="54"/>
    </row>
    <row r="30" spans="1:23" s="55" customFormat="1" ht="12.75" customHeight="1" x14ac:dyDescent="0.15">
      <c r="L30" s="30"/>
    </row>
    <row r="31" spans="1:23" s="56" customFormat="1" ht="12.75" customHeight="1" x14ac:dyDescent="0.15">
      <c r="L31" s="33"/>
    </row>
    <row r="32" spans="1:23" s="49" customFormat="1" ht="12.75" customHeight="1" x14ac:dyDescent="0.2">
      <c r="A32" s="57"/>
      <c r="B32" s="57"/>
      <c r="F32" s="57"/>
      <c r="G32" s="57"/>
      <c r="K32" s="57"/>
      <c r="L32" s="48"/>
      <c r="M32" s="57"/>
      <c r="N32" s="57"/>
      <c r="R32" s="57"/>
      <c r="S32" s="57"/>
      <c r="W32" s="57"/>
    </row>
    <row r="33" spans="1:23" s="49" customFormat="1" ht="12.75" customHeight="1" x14ac:dyDescent="0.2">
      <c r="A33" s="57"/>
      <c r="B33" s="57"/>
      <c r="F33" s="57"/>
      <c r="G33" s="57"/>
      <c r="K33" s="57"/>
      <c r="L33" s="48"/>
      <c r="M33" s="57"/>
      <c r="N33" s="57"/>
      <c r="R33" s="57"/>
      <c r="S33" s="57"/>
      <c r="W33" s="57"/>
    </row>
    <row r="34" spans="1:23" s="46" customFormat="1" ht="12.75" customHeight="1" x14ac:dyDescent="0.2">
      <c r="A34" s="58"/>
      <c r="B34" s="54"/>
      <c r="C34" s="54"/>
      <c r="D34" s="54"/>
      <c r="E34" s="54"/>
      <c r="F34" s="54"/>
      <c r="G34" s="54"/>
      <c r="H34" s="54"/>
      <c r="I34" s="54"/>
      <c r="J34" s="54"/>
      <c r="K34" s="54"/>
      <c r="L34" s="38"/>
      <c r="M34" s="58"/>
      <c r="N34" s="54"/>
      <c r="O34" s="54"/>
      <c r="P34" s="54"/>
      <c r="Q34" s="54"/>
      <c r="R34" s="54"/>
      <c r="S34" s="54"/>
      <c r="T34" s="54"/>
      <c r="U34" s="54"/>
      <c r="V34" s="54"/>
      <c r="W34" s="54"/>
    </row>
    <row r="35" spans="1:23" s="46" customFormat="1" ht="12.75" customHeight="1" x14ac:dyDescent="0.2">
      <c r="A35" s="40"/>
      <c r="B35" s="45"/>
      <c r="C35" s="45"/>
      <c r="D35" s="45"/>
      <c r="E35" s="42"/>
      <c r="F35" s="43"/>
      <c r="G35" s="44"/>
      <c r="H35" s="59"/>
      <c r="I35" s="59"/>
      <c r="J35" s="59"/>
      <c r="K35" s="42"/>
      <c r="L35" s="38"/>
      <c r="M35" s="40"/>
      <c r="N35" s="45"/>
      <c r="O35" s="45"/>
      <c r="P35" s="45"/>
      <c r="Q35" s="42"/>
      <c r="R35" s="43"/>
      <c r="S35" s="44"/>
      <c r="T35" s="59"/>
      <c r="U35" s="59"/>
      <c r="V35" s="59"/>
      <c r="W35" s="42"/>
    </row>
    <row r="36" spans="1:23" s="46" customFormat="1" ht="12.75" customHeight="1" x14ac:dyDescent="0.2">
      <c r="A36" s="40"/>
      <c r="B36" s="45"/>
      <c r="C36" s="45"/>
      <c r="D36" s="45"/>
      <c r="E36" s="42"/>
      <c r="F36" s="43"/>
      <c r="G36" s="44"/>
      <c r="H36" s="45"/>
      <c r="I36" s="45"/>
      <c r="J36" s="45"/>
      <c r="K36" s="42"/>
      <c r="L36" s="38"/>
      <c r="M36" s="40"/>
      <c r="N36" s="45"/>
      <c r="O36" s="45"/>
      <c r="P36" s="45"/>
      <c r="Q36" s="42"/>
      <c r="R36" s="43"/>
      <c r="S36" s="44"/>
      <c r="T36" s="45"/>
      <c r="U36" s="45"/>
      <c r="V36" s="45"/>
      <c r="W36" s="42"/>
    </row>
    <row r="37" spans="1:23" s="46" customFormat="1" ht="12.75" customHeight="1" x14ac:dyDescent="0.2">
      <c r="A37" s="40"/>
      <c r="B37" s="41"/>
      <c r="C37" s="41"/>
      <c r="D37" s="41"/>
      <c r="E37" s="42"/>
      <c r="F37" s="43"/>
      <c r="G37" s="44"/>
      <c r="H37" s="45"/>
      <c r="I37" s="45"/>
      <c r="J37" s="45"/>
      <c r="K37" s="42"/>
      <c r="L37" s="38"/>
      <c r="M37" s="40"/>
      <c r="N37" s="41"/>
      <c r="O37" s="41"/>
      <c r="P37" s="41"/>
      <c r="Q37" s="42"/>
      <c r="R37" s="43"/>
      <c r="S37" s="44"/>
      <c r="T37" s="45"/>
      <c r="U37" s="45"/>
      <c r="V37" s="45"/>
      <c r="W37" s="42"/>
    </row>
    <row r="38" spans="1:23" s="49" customFormat="1" ht="12.75" customHeight="1" x14ac:dyDescent="0.2">
      <c r="A38" s="40"/>
      <c r="B38" s="40"/>
      <c r="C38" s="40"/>
      <c r="D38" s="40"/>
      <c r="E38" s="40"/>
      <c r="F38" s="40"/>
      <c r="G38" s="40"/>
      <c r="H38" s="40"/>
      <c r="I38" s="40"/>
      <c r="J38" s="40"/>
      <c r="K38" s="60"/>
      <c r="L38" s="48"/>
      <c r="M38" s="40"/>
      <c r="N38" s="40"/>
      <c r="O38" s="40"/>
      <c r="P38" s="40"/>
      <c r="Q38" s="40"/>
      <c r="R38" s="40"/>
      <c r="S38" s="40"/>
      <c r="T38" s="40"/>
      <c r="U38" s="40"/>
      <c r="V38" s="40"/>
      <c r="W38" s="60"/>
    </row>
    <row r="39" spans="1:23" s="49" customFormat="1" ht="12.75" customHeight="1" x14ac:dyDescent="0.2">
      <c r="A39" s="50"/>
      <c r="B39" s="51"/>
      <c r="C39" s="51"/>
      <c r="D39" s="51"/>
      <c r="E39" s="51"/>
      <c r="F39" s="51"/>
      <c r="G39" s="51"/>
      <c r="H39" s="51"/>
      <c r="I39" s="51"/>
      <c r="J39" s="51"/>
      <c r="K39" s="51"/>
      <c r="L39" s="48"/>
      <c r="M39" s="50"/>
      <c r="N39" s="51"/>
      <c r="O39" s="51"/>
      <c r="P39" s="51"/>
      <c r="Q39" s="51"/>
      <c r="R39" s="51"/>
      <c r="S39" s="51"/>
      <c r="T39" s="51"/>
      <c r="U39" s="51"/>
      <c r="V39" s="51"/>
      <c r="W39" s="51"/>
    </row>
    <row r="40" spans="1:23" s="46" customFormat="1" ht="12.75" customHeight="1" x14ac:dyDescent="0.2">
      <c r="A40" s="52"/>
      <c r="B40" s="53"/>
      <c r="C40" s="53"/>
      <c r="D40" s="53"/>
      <c r="E40" s="53"/>
      <c r="F40" s="53"/>
      <c r="G40" s="53"/>
      <c r="H40" s="53"/>
      <c r="I40" s="53"/>
      <c r="J40" s="53"/>
      <c r="K40" s="53"/>
      <c r="L40" s="38"/>
      <c r="M40" s="52"/>
      <c r="N40" s="53"/>
      <c r="O40" s="53"/>
      <c r="P40" s="53"/>
      <c r="Q40" s="53"/>
      <c r="R40" s="53"/>
      <c r="S40" s="53"/>
      <c r="T40" s="53"/>
      <c r="U40" s="53"/>
      <c r="V40" s="53"/>
      <c r="W40" s="53"/>
    </row>
    <row r="41" spans="1:23" s="49" customFormat="1" x14ac:dyDescent="0.2">
      <c r="L41" s="48"/>
    </row>
  </sheetData>
  <sheetProtection algorithmName="SHA-512" hashValue="QmQ+TapTyAwAdah1A+1p4nfK50SX5FMcA0q8NvSCup+ALP8Kk7OnC4wOkOi7lCqL99C0mG1WaCWus4za66zErg==" saltValue="Hs6gDnU7+GorwjcSuaPiZA==" spinCount="100000" sheet="1" objects="1" scenarios="1"/>
  <dataConsolidate/>
  <mergeCells count="80">
    <mergeCell ref="T24:V24"/>
    <mergeCell ref="B22:D22"/>
    <mergeCell ref="A20:K20"/>
    <mergeCell ref="M20:W20"/>
    <mergeCell ref="B21:D21"/>
    <mergeCell ref="E21:F21"/>
    <mergeCell ref="H21:J21"/>
    <mergeCell ref="B24:D24"/>
    <mergeCell ref="E24:F24"/>
    <mergeCell ref="H24:J24"/>
    <mergeCell ref="N24:P24"/>
    <mergeCell ref="Q24:R24"/>
    <mergeCell ref="T23:V23"/>
    <mergeCell ref="E22:F22"/>
    <mergeCell ref="H22:J22"/>
    <mergeCell ref="N22:P22"/>
    <mergeCell ref="Q22:R22"/>
    <mergeCell ref="T22:V22"/>
    <mergeCell ref="B23:D23"/>
    <mergeCell ref="N23:P23"/>
    <mergeCell ref="E23:F23"/>
    <mergeCell ref="H23:J23"/>
    <mergeCell ref="Q23:R23"/>
    <mergeCell ref="N21:P21"/>
    <mergeCell ref="Q21:R21"/>
    <mergeCell ref="T21:V21"/>
    <mergeCell ref="A18:K18"/>
    <mergeCell ref="M18:W18"/>
    <mergeCell ref="A17:K17"/>
    <mergeCell ref="M17:W17"/>
    <mergeCell ref="B19:D19"/>
    <mergeCell ref="E19:F19"/>
    <mergeCell ref="H19:J19"/>
    <mergeCell ref="N19:P19"/>
    <mergeCell ref="Q19:R19"/>
    <mergeCell ref="T19:V19"/>
    <mergeCell ref="A16:K16"/>
    <mergeCell ref="M16:W16"/>
    <mergeCell ref="A15:C15"/>
    <mergeCell ref="F15:G15"/>
    <mergeCell ref="M15:O15"/>
    <mergeCell ref="R15:S15"/>
    <mergeCell ref="A13:C13"/>
    <mergeCell ref="F13:G13"/>
    <mergeCell ref="M13:O13"/>
    <mergeCell ref="R13:S13"/>
    <mergeCell ref="A14:C14"/>
    <mergeCell ref="M14:O14"/>
    <mergeCell ref="F14:G14"/>
    <mergeCell ref="R14:S14"/>
    <mergeCell ref="A11:C11"/>
    <mergeCell ref="F11:G11"/>
    <mergeCell ref="M11:O11"/>
    <mergeCell ref="R11:S11"/>
    <mergeCell ref="A12:C12"/>
    <mergeCell ref="F12:G12"/>
    <mergeCell ref="M12:O12"/>
    <mergeCell ref="R12:S12"/>
    <mergeCell ref="A9:C9"/>
    <mergeCell ref="F9:G9"/>
    <mergeCell ref="M9:O9"/>
    <mergeCell ref="R9:S9"/>
    <mergeCell ref="A10:C10"/>
    <mergeCell ref="F10:G10"/>
    <mergeCell ref="M10:O10"/>
    <mergeCell ref="R10:S10"/>
    <mergeCell ref="A1:K1"/>
    <mergeCell ref="M1:W1"/>
    <mergeCell ref="A8:K8"/>
    <mergeCell ref="M8:W8"/>
    <mergeCell ref="B6:C6"/>
    <mergeCell ref="E6:H6"/>
    <mergeCell ref="N6:O6"/>
    <mergeCell ref="Q6:T6"/>
    <mergeCell ref="A2:K2"/>
    <mergeCell ref="M2:W2"/>
    <mergeCell ref="B4:C4"/>
    <mergeCell ref="E4:J4"/>
    <mergeCell ref="N4:O4"/>
    <mergeCell ref="Q4:V4"/>
  </mergeCells>
  <conditionalFormatting sqref="K24 P14 W24">
    <cfRule type="cellIs" dxfId="3" priority="1" stopIfTrue="1" operator="lessThan">
      <formula>0</formula>
    </cfRule>
  </conditionalFormatting>
  <dataValidations count="1">
    <dataValidation allowBlank="1" showInputMessage="1" showErrorMessage="1" prompt="This is the original amount sub-allocated to each service provider. This should reflect the total amount prior to transfers or adjustments." sqref="D11 P11" xr:uid="{00000000-0002-0000-0200-000000000000}"/>
  </dataValidations>
  <pageMargins left="0.5" right="0.5" top="0.7" bottom="0.6" header="0.5" footer="0.5"/>
  <pageSetup scale="25"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'Transfer reference'!$A$3:$A$16</xm:f>
          </x14:formula1>
          <xm:sqref>A12:C13 M12:O13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39997558519241921"/>
    <pageSetUpPr fitToPage="1"/>
  </sheetPr>
  <dimension ref="A1:W39"/>
  <sheetViews>
    <sheetView showGridLines="0" zoomScaleNormal="100" zoomScaleSheetLayoutView="110" workbookViewId="0">
      <selection activeCell="Q6" sqref="Q6:T6"/>
    </sheetView>
  </sheetViews>
  <sheetFormatPr defaultColWidth="9.140625" defaultRowHeight="12.75" x14ac:dyDescent="0.2"/>
  <cols>
    <col min="1" max="1" width="4.7109375" style="19" customWidth="1"/>
    <col min="2" max="2" width="19.7109375" style="19" customWidth="1"/>
    <col min="3" max="3" width="15.7109375" style="19" customWidth="1"/>
    <col min="4" max="4" width="11.7109375" style="19" customWidth="1"/>
    <col min="5" max="5" width="12.7109375" style="19" customWidth="1"/>
    <col min="6" max="6" width="6.42578125" style="19" customWidth="1"/>
    <col min="7" max="7" width="4.7109375" style="19" customWidth="1"/>
    <col min="8" max="8" width="10.7109375" style="19" customWidth="1"/>
    <col min="9" max="10" width="11.7109375" style="19" customWidth="1"/>
    <col min="11" max="11" width="13" style="19" customWidth="1"/>
    <col min="12" max="12" width="1.85546875" style="18" customWidth="1"/>
    <col min="13" max="13" width="4.7109375" style="19" customWidth="1"/>
    <col min="14" max="14" width="19.7109375" style="19" customWidth="1"/>
    <col min="15" max="15" width="15.7109375" style="19" customWidth="1"/>
    <col min="16" max="16" width="11.7109375" style="19" customWidth="1"/>
    <col min="17" max="17" width="12.7109375" style="19" customWidth="1"/>
    <col min="18" max="18" width="6.42578125" style="19" customWidth="1"/>
    <col min="19" max="19" width="4.7109375" style="19" customWidth="1"/>
    <col min="20" max="20" width="10.7109375" style="19" customWidth="1"/>
    <col min="21" max="22" width="11.7109375" style="19" customWidth="1"/>
    <col min="23" max="23" width="13" style="19" customWidth="1"/>
    <col min="24" max="16384" width="9.140625" style="19"/>
  </cols>
  <sheetData>
    <row r="1" spans="1:23" s="14" customFormat="1" ht="18" x14ac:dyDescent="0.25">
      <c r="A1" s="390" t="str">
        <f>EDTAP!A1</f>
        <v>FY20 Period 1 NCDOT ROAP Report</v>
      </c>
      <c r="B1" s="391"/>
      <c r="C1" s="391"/>
      <c r="D1" s="391"/>
      <c r="E1" s="391"/>
      <c r="F1" s="391"/>
      <c r="G1" s="391"/>
      <c r="H1" s="391"/>
      <c r="I1" s="391"/>
      <c r="J1" s="391"/>
      <c r="K1" s="392"/>
      <c r="L1" s="13"/>
      <c r="M1" s="447" t="str">
        <f>EDTAP!M1</f>
        <v>FY20 Period 2 NCDOT ROAP Report</v>
      </c>
      <c r="N1" s="448"/>
      <c r="O1" s="448"/>
      <c r="P1" s="448"/>
      <c r="Q1" s="448"/>
      <c r="R1" s="448"/>
      <c r="S1" s="448"/>
      <c r="T1" s="448"/>
      <c r="U1" s="448"/>
      <c r="V1" s="448"/>
      <c r="W1" s="449"/>
    </row>
    <row r="2" spans="1:23" s="14" customFormat="1" ht="15.75" x14ac:dyDescent="0.2">
      <c r="A2" s="400" t="s">
        <v>11</v>
      </c>
      <c r="B2" s="401"/>
      <c r="C2" s="401"/>
      <c r="D2" s="401"/>
      <c r="E2" s="401"/>
      <c r="F2" s="401"/>
      <c r="G2" s="401"/>
      <c r="H2" s="401"/>
      <c r="I2" s="401"/>
      <c r="J2" s="401"/>
      <c r="K2" s="402"/>
      <c r="L2" s="13"/>
      <c r="M2" s="450" t="s">
        <v>11</v>
      </c>
      <c r="N2" s="451"/>
      <c r="O2" s="451"/>
      <c r="P2" s="451"/>
      <c r="Q2" s="451"/>
      <c r="R2" s="451"/>
      <c r="S2" s="451"/>
      <c r="T2" s="451"/>
      <c r="U2" s="451"/>
      <c r="V2" s="451"/>
      <c r="W2" s="452"/>
    </row>
    <row r="3" spans="1:23" ht="9.75" customHeight="1" x14ac:dyDescent="0.2">
      <c r="A3" s="15"/>
      <c r="B3" s="16"/>
      <c r="C3" s="16"/>
      <c r="D3" s="16"/>
      <c r="E3" s="16"/>
      <c r="F3" s="16"/>
      <c r="G3" s="16"/>
      <c r="H3" s="16"/>
      <c r="I3" s="16"/>
      <c r="J3" s="16"/>
      <c r="K3" s="17"/>
      <c r="M3" s="15"/>
      <c r="N3" s="16"/>
      <c r="O3" s="16"/>
      <c r="P3" s="16"/>
      <c r="Q3" s="16"/>
      <c r="R3" s="16"/>
      <c r="S3" s="16"/>
      <c r="T3" s="16"/>
      <c r="U3" s="16"/>
      <c r="V3" s="16"/>
      <c r="W3" s="17"/>
    </row>
    <row r="4" spans="1:23" ht="12.75" customHeight="1" x14ac:dyDescent="0.2">
      <c r="A4" s="244">
        <f>EMPL!G24+1</f>
        <v>48</v>
      </c>
      <c r="B4" s="393" t="s">
        <v>3</v>
      </c>
      <c r="C4" s="393"/>
      <c r="D4" s="20"/>
      <c r="E4" s="406">
        <f>Overview!D5</f>
        <v>0</v>
      </c>
      <c r="F4" s="407"/>
      <c r="G4" s="407"/>
      <c r="H4" s="407"/>
      <c r="I4" s="407"/>
      <c r="J4" s="408"/>
      <c r="K4" s="21"/>
      <c r="M4" s="244">
        <f>A4</f>
        <v>48</v>
      </c>
      <c r="N4" s="393" t="s">
        <v>3</v>
      </c>
      <c r="O4" s="393"/>
      <c r="P4" s="20"/>
      <c r="Q4" s="406">
        <f>E4</f>
        <v>0</v>
      </c>
      <c r="R4" s="407"/>
      <c r="S4" s="407"/>
      <c r="T4" s="407"/>
      <c r="U4" s="407"/>
      <c r="V4" s="408"/>
      <c r="W4" s="21"/>
    </row>
    <row r="5" spans="1:23" ht="8.25" customHeight="1" x14ac:dyDescent="0.2">
      <c r="A5" s="22"/>
      <c r="B5" s="23"/>
      <c r="C5" s="23"/>
      <c r="D5" s="23"/>
      <c r="E5" s="23"/>
      <c r="F5" s="23"/>
      <c r="G5" s="23"/>
      <c r="H5" s="23"/>
      <c r="I5" s="23"/>
      <c r="J5" s="23"/>
      <c r="K5" s="24"/>
      <c r="M5" s="22"/>
      <c r="N5" s="23"/>
      <c r="O5" s="23"/>
      <c r="P5" s="23"/>
      <c r="Q5" s="23"/>
      <c r="R5" s="23"/>
      <c r="S5" s="23"/>
      <c r="T5" s="23"/>
      <c r="U5" s="23"/>
      <c r="V5" s="23"/>
      <c r="W5" s="24"/>
    </row>
    <row r="6" spans="1:23" ht="12.75" customHeight="1" x14ac:dyDescent="0.2">
      <c r="A6" s="245">
        <f>A4+1</f>
        <v>49</v>
      </c>
      <c r="B6" s="393" t="s">
        <v>372</v>
      </c>
      <c r="C6" s="393"/>
      <c r="D6" s="4"/>
      <c r="E6" s="394">
        <f>Overview!D7</f>
        <v>43830</v>
      </c>
      <c r="F6" s="395"/>
      <c r="G6" s="395"/>
      <c r="H6" s="396"/>
      <c r="I6" s="23"/>
      <c r="J6" s="23"/>
      <c r="K6" s="24"/>
      <c r="M6" s="245">
        <f>A6</f>
        <v>49</v>
      </c>
      <c r="N6" s="393" t="s">
        <v>373</v>
      </c>
      <c r="O6" s="393"/>
      <c r="P6" s="4"/>
      <c r="Q6" s="463">
        <v>44012</v>
      </c>
      <c r="R6" s="464"/>
      <c r="S6" s="464"/>
      <c r="T6" s="465"/>
      <c r="U6" s="23"/>
      <c r="V6" s="23"/>
      <c r="W6" s="24"/>
    </row>
    <row r="7" spans="1:23" ht="12" customHeight="1" x14ac:dyDescent="0.2">
      <c r="A7" s="25"/>
      <c r="B7" s="26"/>
      <c r="C7" s="27"/>
      <c r="D7" s="27"/>
      <c r="E7" s="23"/>
      <c r="F7" s="23"/>
      <c r="G7" s="23"/>
      <c r="H7" s="23"/>
      <c r="I7" s="23"/>
      <c r="J7" s="23"/>
      <c r="K7" s="24"/>
      <c r="M7" s="25"/>
      <c r="N7" s="26"/>
      <c r="O7" s="27"/>
      <c r="P7" s="27"/>
      <c r="Q7" s="23"/>
      <c r="R7" s="23"/>
      <c r="S7" s="23"/>
      <c r="T7" s="23"/>
      <c r="U7" s="23"/>
      <c r="V7" s="23"/>
      <c r="W7" s="24"/>
    </row>
    <row r="8" spans="1:23" s="29" customFormat="1" ht="20.25" customHeight="1" x14ac:dyDescent="0.2">
      <c r="A8" s="397" t="s">
        <v>2</v>
      </c>
      <c r="B8" s="398"/>
      <c r="C8" s="398"/>
      <c r="D8" s="398"/>
      <c r="E8" s="398"/>
      <c r="F8" s="398"/>
      <c r="G8" s="398"/>
      <c r="H8" s="398"/>
      <c r="I8" s="398"/>
      <c r="J8" s="398"/>
      <c r="K8" s="399"/>
      <c r="L8" s="28"/>
      <c r="M8" s="453" t="s">
        <v>2</v>
      </c>
      <c r="N8" s="454"/>
      <c r="O8" s="454"/>
      <c r="P8" s="454"/>
      <c r="Q8" s="454"/>
      <c r="R8" s="454"/>
      <c r="S8" s="454"/>
      <c r="T8" s="454"/>
      <c r="U8" s="454"/>
      <c r="V8" s="454"/>
      <c r="W8" s="455"/>
    </row>
    <row r="9" spans="1:23" s="31" customFormat="1" ht="11.25" customHeight="1" x14ac:dyDescent="0.2">
      <c r="A9" s="492">
        <f>A6+1</f>
        <v>50</v>
      </c>
      <c r="B9" s="493"/>
      <c r="C9" s="494"/>
      <c r="D9" s="231">
        <f>A9+1</f>
        <v>51</v>
      </c>
      <c r="E9" s="231">
        <f>D9+1</f>
        <v>52</v>
      </c>
      <c r="F9" s="495">
        <f>E9+1</f>
        <v>53</v>
      </c>
      <c r="G9" s="494"/>
      <c r="H9" s="6"/>
      <c r="I9" s="231">
        <f>F9+1</f>
        <v>54</v>
      </c>
      <c r="J9" s="231">
        <f>I9+1</f>
        <v>55</v>
      </c>
      <c r="K9" s="248">
        <f>J9+1</f>
        <v>56</v>
      </c>
      <c r="L9" s="30"/>
      <c r="M9" s="492">
        <f>A9</f>
        <v>50</v>
      </c>
      <c r="N9" s="493"/>
      <c r="O9" s="494"/>
      <c r="P9" s="231">
        <f>D9</f>
        <v>51</v>
      </c>
      <c r="Q9" s="231">
        <f>E9</f>
        <v>52</v>
      </c>
      <c r="R9" s="495">
        <f>F9</f>
        <v>53</v>
      </c>
      <c r="S9" s="494"/>
      <c r="T9" s="6"/>
      <c r="U9" s="231">
        <f>R9+1</f>
        <v>54</v>
      </c>
      <c r="V9" s="231">
        <f>U9+1</f>
        <v>55</v>
      </c>
      <c r="W9" s="248">
        <f>V9+1</f>
        <v>56</v>
      </c>
    </row>
    <row r="10" spans="1:23" s="34" customFormat="1" ht="36" customHeight="1" x14ac:dyDescent="0.2">
      <c r="A10" s="387" t="s">
        <v>329</v>
      </c>
      <c r="B10" s="388"/>
      <c r="C10" s="389"/>
      <c r="D10" s="206" t="s">
        <v>362</v>
      </c>
      <c r="E10" s="206" t="s">
        <v>363</v>
      </c>
      <c r="F10" s="462" t="s">
        <v>369</v>
      </c>
      <c r="G10" s="389"/>
      <c r="H10" s="250"/>
      <c r="I10" s="206" t="s">
        <v>261</v>
      </c>
      <c r="J10" s="206" t="s">
        <v>367</v>
      </c>
      <c r="K10" s="252" t="s">
        <v>368</v>
      </c>
      <c r="L10" s="33"/>
      <c r="M10" s="387" t="s">
        <v>329</v>
      </c>
      <c r="N10" s="388"/>
      <c r="O10" s="389"/>
      <c r="P10" s="206" t="s">
        <v>362</v>
      </c>
      <c r="Q10" s="206" t="s">
        <v>363</v>
      </c>
      <c r="R10" s="462" t="s">
        <v>369</v>
      </c>
      <c r="S10" s="389"/>
      <c r="T10" s="250"/>
      <c r="U10" s="206" t="s">
        <v>261</v>
      </c>
      <c r="V10" s="206" t="s">
        <v>367</v>
      </c>
      <c r="W10" s="252" t="s">
        <v>368</v>
      </c>
    </row>
    <row r="11" spans="1:23" ht="15" customHeight="1" x14ac:dyDescent="0.2">
      <c r="A11" s="466">
        <f>Overview!D13</f>
        <v>0</v>
      </c>
      <c r="B11" s="467"/>
      <c r="C11" s="468"/>
      <c r="D11" s="324">
        <v>0</v>
      </c>
      <c r="E11" s="346">
        <f>SUMIFS('Transfers log'!$G$6:$G$55,'Transfers log'!$E$6:$E$55,"RGP",'Transfers log'!$C$6:$C$55,"EMPL",'Transfers log'!$F$6:$F$55,RGP!A11,'Transfers log'!$A$6:$A$55,"Period 1")+SUMIFS('Transfers log'!$G$6:$G$55,'Transfers log'!$E$6:$E$55,"RGP",'Transfers log'!$C$6:$C$55,"RGP",'Transfers log'!$D$6:$D$55,"*member*",'Transfers log'!$A$6:$A$55,"Period 1")-SUMIFS('Transfers log'!$G$6:$G$55,'Transfers log'!$C$6:$C$55,"RGP",'Transfers log'!$D$6:$D$55,RGP!A11,'Transfers log'!$A$6:$A$55,"Period 1")</f>
        <v>0</v>
      </c>
      <c r="F11" s="513"/>
      <c r="G11" s="514"/>
      <c r="H11" s="257"/>
      <c r="I11" s="324"/>
      <c r="J11" s="257"/>
      <c r="K11" s="258"/>
      <c r="M11" s="466">
        <f>A11</f>
        <v>0</v>
      </c>
      <c r="N11" s="467"/>
      <c r="O11" s="468"/>
      <c r="P11" s="326"/>
      <c r="Q11" s="94">
        <f>SUMIFS('Transfers log'!$G$6:$G$55,'Transfers log'!$E$6:$E$55,"RGP",'Transfers log'!$C$6:$C$55,"EMPL",'Transfers log'!$F$6:$F$55,RGP!M11,'Transfers log'!$A$6:$A$55,"Period 2")+SUMIFS('Transfers log'!$G$6:$G$55,'Transfers log'!$E$6:$E$55,"RGP",'Transfers log'!$C$6:$C$55,"RGP",'Transfers log'!$D$6:$D$55,"*member*",'Transfers log'!$A$6:$A$55,"Period 2")-SUMIFS('Transfers log'!$G$6:$G$55,'Transfers log'!$C$6:$C$55,"RGP",'Transfers log'!$D$6:$D$55,RGP!M11,'Transfers log'!$A$6:$A$55,"Period 2")</f>
        <v>0</v>
      </c>
      <c r="R11" s="513"/>
      <c r="S11" s="514"/>
      <c r="T11" s="257"/>
      <c r="U11" s="326"/>
      <c r="V11" s="257"/>
      <c r="W11" s="258"/>
    </row>
    <row r="12" spans="1:23" ht="15" customHeight="1" x14ac:dyDescent="0.2">
      <c r="A12" s="474"/>
      <c r="B12" s="475"/>
      <c r="C12" s="476"/>
      <c r="D12" s="313"/>
      <c r="E12" s="257"/>
      <c r="F12" s="503"/>
      <c r="G12" s="504"/>
      <c r="H12" s="257"/>
      <c r="I12" s="257"/>
      <c r="J12" s="257"/>
      <c r="K12" s="258"/>
      <c r="M12" s="474" t="s">
        <v>388</v>
      </c>
      <c r="N12" s="475"/>
      <c r="O12" s="476"/>
      <c r="P12" s="94">
        <f>IF(K22&gt;0,K22,0)</f>
        <v>0</v>
      </c>
      <c r="Q12" s="257"/>
      <c r="R12" s="503"/>
      <c r="S12" s="504"/>
      <c r="T12" s="257"/>
      <c r="U12" s="94">
        <f>IF(K22&lt;0,-K22,0)</f>
        <v>0</v>
      </c>
      <c r="V12" s="257"/>
      <c r="W12" s="258"/>
    </row>
    <row r="13" spans="1:23" s="70" customFormat="1" ht="15" customHeight="1" x14ac:dyDescent="0.2">
      <c r="A13" s="499" t="s">
        <v>310</v>
      </c>
      <c r="B13" s="499"/>
      <c r="C13" s="499"/>
      <c r="D13" s="94">
        <f>D11+D12</f>
        <v>0</v>
      </c>
      <c r="E13" s="347">
        <f t="shared" ref="E13:I13" si="0">E11</f>
        <v>0</v>
      </c>
      <c r="F13" s="500">
        <f t="shared" si="0"/>
        <v>0</v>
      </c>
      <c r="G13" s="500">
        <f t="shared" si="0"/>
        <v>0</v>
      </c>
      <c r="H13" s="260"/>
      <c r="I13" s="94">
        <f t="shared" si="0"/>
        <v>0</v>
      </c>
      <c r="J13" s="94">
        <f>IF(I13*0.9&lt;(D13+E13),I13*0.9,D13+E13)</f>
        <v>0</v>
      </c>
      <c r="K13" s="268">
        <f>(J13/0.9)*0.1</f>
        <v>0</v>
      </c>
      <c r="M13" s="501" t="s">
        <v>310</v>
      </c>
      <c r="N13" s="499"/>
      <c r="O13" s="499"/>
      <c r="P13" s="94">
        <f>SUM(P11:P12)</f>
        <v>0</v>
      </c>
      <c r="Q13" s="259">
        <f>Q11</f>
        <v>0</v>
      </c>
      <c r="R13" s="502">
        <f t="shared" ref="R13:S13" si="1">R11</f>
        <v>0</v>
      </c>
      <c r="S13" s="502">
        <f t="shared" si="1"/>
        <v>0</v>
      </c>
      <c r="T13" s="260"/>
      <c r="U13" s="94">
        <f>SUM(U11:U12)</f>
        <v>0</v>
      </c>
      <c r="V13" s="94">
        <f>IF(U13*0.9&lt;(P13+Q13),U13*0.9,P13+Q13)</f>
        <v>0</v>
      </c>
      <c r="W13" s="268">
        <f>(V13/0.9)*0.1</f>
        <v>0</v>
      </c>
    </row>
    <row r="14" spans="1:23" s="37" customFormat="1" ht="13.5" customHeight="1" x14ac:dyDescent="0.2">
      <c r="A14" s="483" t="s">
        <v>390</v>
      </c>
      <c r="B14" s="484"/>
      <c r="C14" s="484"/>
      <c r="D14" s="484"/>
      <c r="E14" s="484"/>
      <c r="F14" s="484"/>
      <c r="G14" s="484"/>
      <c r="H14" s="484"/>
      <c r="I14" s="484"/>
      <c r="J14" s="484"/>
      <c r="K14" s="485"/>
      <c r="L14" s="36"/>
      <c r="M14" s="486" t="s">
        <v>390</v>
      </c>
      <c r="N14" s="487"/>
      <c r="O14" s="487"/>
      <c r="P14" s="487"/>
      <c r="Q14" s="487"/>
      <c r="R14" s="487"/>
      <c r="S14" s="487"/>
      <c r="T14" s="487"/>
      <c r="U14" s="487"/>
      <c r="V14" s="487"/>
      <c r="W14" s="488"/>
    </row>
    <row r="15" spans="1:23" s="39" customFormat="1" ht="13.5" customHeight="1" x14ac:dyDescent="0.2">
      <c r="A15" s="232">
        <f>K9+1</f>
        <v>57</v>
      </c>
      <c r="B15" s="377" t="s">
        <v>20</v>
      </c>
      <c r="C15" s="377"/>
      <c r="D15" s="377"/>
      <c r="E15" s="433"/>
      <c r="F15" s="498"/>
      <c r="G15" s="249">
        <f>A17+1</f>
        <v>60</v>
      </c>
      <c r="H15" s="426" t="s">
        <v>255</v>
      </c>
      <c r="I15" s="426"/>
      <c r="J15" s="426"/>
      <c r="K15" s="323">
        <v>0</v>
      </c>
      <c r="L15" s="38"/>
      <c r="M15" s="232">
        <f>A15</f>
        <v>57</v>
      </c>
      <c r="N15" s="377" t="s">
        <v>20</v>
      </c>
      <c r="O15" s="377"/>
      <c r="P15" s="377"/>
      <c r="Q15" s="509"/>
      <c r="R15" s="510"/>
      <c r="S15" s="249">
        <f>G15</f>
        <v>60</v>
      </c>
      <c r="T15" s="426" t="s">
        <v>255</v>
      </c>
      <c r="U15" s="426"/>
      <c r="V15" s="426"/>
      <c r="W15" s="327"/>
    </row>
    <row r="16" spans="1:23" s="39" customFormat="1" ht="13.5" customHeight="1" x14ac:dyDescent="0.2">
      <c r="A16" s="232">
        <f>A15+1</f>
        <v>58</v>
      </c>
      <c r="B16" s="377" t="s">
        <v>19</v>
      </c>
      <c r="C16" s="377"/>
      <c r="D16" s="377"/>
      <c r="E16" s="505"/>
      <c r="F16" s="506"/>
      <c r="G16" s="249">
        <f>G15+1</f>
        <v>61</v>
      </c>
      <c r="H16" s="426" t="s">
        <v>17</v>
      </c>
      <c r="I16" s="426"/>
      <c r="J16" s="426"/>
      <c r="K16" s="323">
        <v>0</v>
      </c>
      <c r="L16" s="38"/>
      <c r="M16" s="232">
        <f>A16</f>
        <v>58</v>
      </c>
      <c r="N16" s="377" t="s">
        <v>19</v>
      </c>
      <c r="O16" s="377"/>
      <c r="P16" s="377"/>
      <c r="Q16" s="505"/>
      <c r="R16" s="506"/>
      <c r="S16" s="249">
        <f>G16</f>
        <v>61</v>
      </c>
      <c r="T16" s="426" t="s">
        <v>17</v>
      </c>
      <c r="U16" s="426"/>
      <c r="V16" s="426"/>
      <c r="W16" s="327">
        <v>0</v>
      </c>
    </row>
    <row r="17" spans="1:23" s="39" customFormat="1" ht="13.5" customHeight="1" x14ac:dyDescent="0.2">
      <c r="A17" s="232">
        <f>A16+1</f>
        <v>59</v>
      </c>
      <c r="B17" s="496" t="s">
        <v>323</v>
      </c>
      <c r="C17" s="497"/>
      <c r="D17" s="497"/>
      <c r="E17" s="497"/>
      <c r="F17" s="497"/>
      <c r="G17" s="497"/>
      <c r="H17" s="497"/>
      <c r="I17" s="497"/>
      <c r="J17" s="507">
        <f>K13</f>
        <v>0</v>
      </c>
      <c r="K17" s="508"/>
      <c r="L17" s="38"/>
      <c r="M17" s="232">
        <f>A17</f>
        <v>59</v>
      </c>
      <c r="N17" s="496" t="s">
        <v>323</v>
      </c>
      <c r="O17" s="497"/>
      <c r="P17" s="497"/>
      <c r="Q17" s="497"/>
      <c r="R17" s="497"/>
      <c r="S17" s="497"/>
      <c r="T17" s="497"/>
      <c r="U17" s="497"/>
      <c r="V17" s="511">
        <f>W13</f>
        <v>0</v>
      </c>
      <c r="W17" s="512"/>
    </row>
    <row r="18" spans="1:23" s="37" customFormat="1" ht="13.5" customHeight="1" x14ac:dyDescent="0.2">
      <c r="A18" s="483" t="s">
        <v>16</v>
      </c>
      <c r="B18" s="484"/>
      <c r="C18" s="484"/>
      <c r="D18" s="484"/>
      <c r="E18" s="484"/>
      <c r="F18" s="484"/>
      <c r="G18" s="484"/>
      <c r="H18" s="484"/>
      <c r="I18" s="484"/>
      <c r="J18" s="484"/>
      <c r="K18" s="485"/>
      <c r="L18" s="36"/>
      <c r="M18" s="486" t="s">
        <v>16</v>
      </c>
      <c r="N18" s="487"/>
      <c r="O18" s="487"/>
      <c r="P18" s="487"/>
      <c r="Q18" s="487"/>
      <c r="R18" s="487"/>
      <c r="S18" s="487"/>
      <c r="T18" s="487"/>
      <c r="U18" s="487"/>
      <c r="V18" s="487"/>
      <c r="W18" s="488"/>
    </row>
    <row r="19" spans="1:23" ht="13.5" customHeight="1" x14ac:dyDescent="0.2">
      <c r="A19" s="232">
        <f>G16+1</f>
        <v>62</v>
      </c>
      <c r="B19" s="425" t="s">
        <v>407</v>
      </c>
      <c r="C19" s="425"/>
      <c r="D19" s="425"/>
      <c r="E19" s="419">
        <f>SUMIFS('Transfers log'!$G$6:$G$55,'Transfers log'!$C$6:$C$55,"EMPL",'Transfers log'!$E$6:$E$55,"RGP",'Transfers log'!$A$6:$A$55,"Period 1")-SUMIFS('Transfers log'!$G$6:$G$55,'Transfers log'!$C$6:$C$55,"RGP",'Transfers log'!$E$6:$E$55,"EDTAP",'Transfers log'!$A$6:$A$55,"Period 1")-SUMIFS('Transfers log'!$G$6:$G$55,'Transfers log'!$C$6:$C$55,"RGP",'Transfers log'!$E$6:$E$55,"EMPL",'Transfers log'!$A$6:$A$55,"Period 1")</f>
        <v>0</v>
      </c>
      <c r="F19" s="420"/>
      <c r="G19" s="233">
        <f>A22+1</f>
        <v>66</v>
      </c>
      <c r="H19" s="426" t="s">
        <v>15</v>
      </c>
      <c r="I19" s="426"/>
      <c r="J19" s="426"/>
      <c r="K19" s="251">
        <f>D11</f>
        <v>0</v>
      </c>
      <c r="M19" s="232">
        <f>A19</f>
        <v>62</v>
      </c>
      <c r="N19" s="425" t="s">
        <v>407</v>
      </c>
      <c r="O19" s="425"/>
      <c r="P19" s="425"/>
      <c r="Q19" s="517">
        <f>SUMIFS('Transfers log'!$G$6:$G$55,'Transfers log'!$C$6:$C$55,"EMPL",'Transfers log'!$E$6:$E$55,"RGP",'Transfers log'!$A$6:$A$55,"Period 2")-SUMIFS('Transfers log'!$G$6:$G$55,'Transfers log'!$C$6:$C$55,"RGP",'Transfers log'!$E$6:$E$55,"EDTAP",'Transfers log'!$A$6:$A$55,"Period 2")-SUMIFS('Transfers log'!$G$6:$G$55,'Transfers log'!$C$6:$C$55,"RGP",'Transfers log'!$E$6:$E$55,"EMPL",'Transfers log'!$A$6:$A$55,"Period 2")</f>
        <v>0</v>
      </c>
      <c r="R19" s="518"/>
      <c r="S19" s="233">
        <f>G19</f>
        <v>66</v>
      </c>
      <c r="T19" s="426" t="s">
        <v>15</v>
      </c>
      <c r="U19" s="426"/>
      <c r="V19" s="426"/>
      <c r="W19" s="255">
        <f>P11</f>
        <v>0</v>
      </c>
    </row>
    <row r="20" spans="1:23" ht="13.5" customHeight="1" x14ac:dyDescent="0.2">
      <c r="A20" s="232">
        <f>A19+1</f>
        <v>63</v>
      </c>
      <c r="B20" s="377" t="s">
        <v>370</v>
      </c>
      <c r="C20" s="377"/>
      <c r="D20" s="377"/>
      <c r="E20" s="419">
        <f>SUMIFS('Transfers log'!$G$6:$G$55,'Transfers log'!$C$6:$C$55,"RGP",'Transfers log'!$F$6:$F$55,"*regional system*",'Transfers log'!$A$6:$A$55,"Period 1")</f>
        <v>0</v>
      </c>
      <c r="F20" s="420"/>
      <c r="G20" s="233">
        <f>G19+1</f>
        <v>67</v>
      </c>
      <c r="H20" s="423" t="s">
        <v>374</v>
      </c>
      <c r="I20" s="424"/>
      <c r="J20" s="424"/>
      <c r="K20" s="246">
        <f>(K19+E19+E21-E20-E22)+K13</f>
        <v>0</v>
      </c>
      <c r="M20" s="232">
        <f>A20</f>
        <v>63</v>
      </c>
      <c r="N20" s="377" t="s">
        <v>370</v>
      </c>
      <c r="O20" s="377"/>
      <c r="P20" s="377"/>
      <c r="Q20" s="517">
        <f>SUMIFS('Transfers log'!$G$6:$G$55,'Transfers log'!$C$6:$C$55,"RGP",'Transfers log'!$F$6:$F$55,"*regional system*",'Transfers log'!$A$6:$A$55,"Period 2")</f>
        <v>0</v>
      </c>
      <c r="R20" s="518"/>
      <c r="S20" s="233">
        <f>G20</f>
        <v>67</v>
      </c>
      <c r="T20" s="423" t="s">
        <v>374</v>
      </c>
      <c r="U20" s="424"/>
      <c r="V20" s="424"/>
      <c r="W20" s="255">
        <f>(W19+Q19+Q21-Q20-Q22)+W13</f>
        <v>0</v>
      </c>
    </row>
    <row r="21" spans="1:23" ht="13.5" customHeight="1" x14ac:dyDescent="0.2">
      <c r="A21" s="232">
        <f>A20+1</f>
        <v>64</v>
      </c>
      <c r="B21" s="234" t="s">
        <v>371</v>
      </c>
      <c r="C21" s="234"/>
      <c r="D21" s="234"/>
      <c r="E21" s="419">
        <f>SUMIFS('Transfers log'!$G$6:$G$55,'Transfers log'!$C$6:$C$55,"RGP",'Transfers log'!$E$6:$E$55,"RGP",'Transfers log'!$D$6:$D$55,"*member*",'Transfers log'!$A$6:$A$55,"Q1")+SUMIFS('Transfers log'!$G$6:$G$55,'Transfers log'!$C$6:$C$55,"EMPL",'Transfers log'!$E$6:$E$55,"RGP",'Transfers log'!$D$6:$D$55,"*member*",'Transfers log'!$A$6:$A$55,"Period 1")</f>
        <v>0</v>
      </c>
      <c r="F21" s="420"/>
      <c r="G21" s="233">
        <f>G20+1</f>
        <v>68</v>
      </c>
      <c r="H21" s="421" t="s">
        <v>333</v>
      </c>
      <c r="I21" s="422"/>
      <c r="J21" s="422"/>
      <c r="K21" s="246">
        <f>I13</f>
        <v>0</v>
      </c>
      <c r="M21" s="232">
        <f>A21</f>
        <v>64</v>
      </c>
      <c r="N21" s="234" t="s">
        <v>371</v>
      </c>
      <c r="O21" s="234"/>
      <c r="P21" s="234"/>
      <c r="Q21" s="517">
        <f>SUMIFS('Transfers log'!$G$6:$G$55,'Transfers log'!$C$6:$C$55,"RGP",'Transfers log'!$E$6:$E$55,"RGP",'Transfers log'!$D$6:$D$55,"*member*",'Transfers log'!$A$6:$A$55,"Period 2")+SUMIFS('Transfers log'!$G$6:$G$55,'Transfers log'!$C$6:$C$55,"EMPL",'Transfers log'!$E$6:$E$55,"RGP",'Transfers log'!$D$6:$D$55,"*member*",'Transfers log'!$A$6:$A$55,"Period 2")</f>
        <v>0</v>
      </c>
      <c r="R21" s="518"/>
      <c r="S21" s="233">
        <f>G21</f>
        <v>68</v>
      </c>
      <c r="T21" s="421" t="s">
        <v>333</v>
      </c>
      <c r="U21" s="422"/>
      <c r="V21" s="422"/>
      <c r="W21" s="255">
        <f>U13</f>
        <v>0</v>
      </c>
    </row>
    <row r="22" spans="1:23" ht="27" customHeight="1" thickBot="1" x14ac:dyDescent="0.25">
      <c r="A22" s="241">
        <f>A21+1</f>
        <v>65</v>
      </c>
      <c r="B22" s="414" t="s">
        <v>403</v>
      </c>
      <c r="C22" s="415"/>
      <c r="D22" s="416"/>
      <c r="E22" s="412">
        <f>SUMIFS('Transfers log'!$G$6:$G$55,'Transfers log'!$C$6:$C$55,"RGP",'Transfers log'!$E$6:$E$55,"JARC",'Transfers log'!$A$6:$A$55,"Period 1")+SUMIFS('Transfers log'!$G$6:$G$55,'Transfers log'!$C$6:$C$55,"RGP",'Transfers log'!$E$6:$E$55,"New Freedom",'Transfers log'!$A$6:$A$55,"Period 1")+SUMIFS('Transfers log'!$G$6:$G$55,'Transfers log'!$C$6:$C$55,"RGP",'Transfers log'!$E$6:$E$55,"5311 funds",'Transfers log'!$A$6:$A$55,"Period 1")+SUMIFS('Transfers log'!$G$6:$G$55,'Transfers log'!$C$6:$C$55,"RGP",'Transfers log'!$E$6:$E$55,"5310 funds",'Transfers log'!$A$6:$A$55,"Period 1")+SUMIFS('Transfers log'!$G$6:$G$55,'Transfers log'!$C$6:$C$55,"RGP",'Transfers log'!$E$6:$E$55,"5307 funds",'Transfers log'!$A$6:$A$55,"Period 1")+ SUMIFS('Transfers log'!$G$6:$G$55,'Transfers log'!$C$6:$C$55,"RGP",'Transfers log'!$E$6:$E$55,"Rural State Operating",'Transfers log'!$A$6:$A$55,"Period 1")</f>
        <v>0</v>
      </c>
      <c r="F22" s="413"/>
      <c r="G22" s="235">
        <f>G21+1</f>
        <v>69</v>
      </c>
      <c r="H22" s="417" t="s">
        <v>330</v>
      </c>
      <c r="I22" s="418"/>
      <c r="J22" s="418"/>
      <c r="K22" s="247">
        <f>K20-K21</f>
        <v>0</v>
      </c>
      <c r="M22" s="241">
        <f>A22</f>
        <v>65</v>
      </c>
      <c r="N22" s="414" t="s">
        <v>403</v>
      </c>
      <c r="O22" s="415"/>
      <c r="P22" s="416"/>
      <c r="Q22" s="515">
        <f>SUMIFS('Transfers log'!$G$6:$G$55,'Transfers log'!$C$6:$C$55,"RGP",'Transfers log'!$E$6:$E$55,"JARC",'Transfers log'!$A$6:$A$55,"Period 2")+SUMIFS('Transfers log'!$G$6:$G$55,'Transfers log'!$C$6:$C$55,"RGP",'Transfers log'!$E$6:$E$55,"New Freedom",'Transfers log'!$A$6:$A$55,"Period 2")+SUMIFS('Transfers log'!$G$6:$G$55,'Transfers log'!$C$6:$C$55,"RGP",'Transfers log'!$E$6:$E$55,"5311 funds",'Transfers log'!$A$6:$A$55,"Period 2")+SUMIFS('Transfers log'!$G$6:$G$55,'Transfers log'!$C$6:$C$55,"RGP",'Transfers log'!$E$6:$E$55,"5307 funds",'Transfers log'!$A$6:$A$55,"Period 2")+SUMIFS('Transfers log'!$G$6:$G$55,'Transfers log'!$C$6:$C$55,"RGP",'Transfers log'!$E$6:$E$55,"5310 funds",'Transfers log'!$A$6:$A$55,"Period 2")+ SUMIFS('Transfers log'!$G$6:$G$55,'Transfers log'!$C$6:$C$55,"RGP",'Transfers log'!$E$6:$E$55,"Rural State Operating",'Transfers log'!$A$6:$A$55,"Period 2")</f>
        <v>0</v>
      </c>
      <c r="R22" s="516"/>
      <c r="S22" s="235">
        <f>G22</f>
        <v>69</v>
      </c>
      <c r="T22" s="417" t="s">
        <v>330</v>
      </c>
      <c r="U22" s="418"/>
      <c r="V22" s="418"/>
      <c r="W22" s="256">
        <f>W20-W21</f>
        <v>0</v>
      </c>
    </row>
    <row r="23" spans="1:23" s="46" customFormat="1" ht="12.75" customHeight="1" x14ac:dyDescent="0.2">
      <c r="A23" s="40"/>
      <c r="B23" s="41"/>
      <c r="C23" s="41"/>
      <c r="D23" s="41"/>
      <c r="E23" s="42"/>
      <c r="F23" s="43"/>
      <c r="G23" s="44"/>
      <c r="H23" s="45"/>
      <c r="I23" s="45"/>
      <c r="J23" s="45"/>
      <c r="K23" s="42"/>
      <c r="L23" s="38"/>
      <c r="M23" s="40"/>
      <c r="N23" s="41"/>
      <c r="O23" s="41"/>
      <c r="P23" s="41"/>
      <c r="Q23" s="42"/>
      <c r="R23" s="43"/>
      <c r="S23" s="44"/>
      <c r="T23" s="45"/>
      <c r="U23" s="45"/>
      <c r="V23" s="45"/>
      <c r="W23" s="42"/>
    </row>
    <row r="24" spans="1:23" s="49" customFormat="1" ht="12.75" customHeight="1" x14ac:dyDescent="0.2">
      <c r="A24" s="40"/>
      <c r="B24" s="40"/>
      <c r="C24" s="40"/>
      <c r="D24" s="40"/>
      <c r="E24" s="40"/>
      <c r="F24" s="40"/>
      <c r="G24" s="40"/>
      <c r="H24" s="40"/>
      <c r="I24" s="40"/>
      <c r="J24" s="40"/>
      <c r="K24" s="47"/>
      <c r="L24" s="48"/>
      <c r="M24" s="40"/>
      <c r="N24" s="40"/>
      <c r="O24" s="40"/>
      <c r="P24" s="40"/>
      <c r="Q24" s="40"/>
      <c r="R24" s="40"/>
      <c r="S24" s="40"/>
      <c r="T24" s="40"/>
      <c r="U24" s="40"/>
      <c r="V24" s="40"/>
      <c r="W24" s="47"/>
    </row>
    <row r="25" spans="1:23" s="49" customFormat="1" ht="12.75" customHeight="1" x14ac:dyDescent="0.2">
      <c r="A25" s="50"/>
      <c r="B25" s="51"/>
      <c r="C25" s="51"/>
      <c r="D25" s="51"/>
      <c r="E25" s="51"/>
      <c r="F25" s="51"/>
      <c r="G25" s="51"/>
      <c r="H25" s="51"/>
      <c r="I25" s="51"/>
      <c r="J25" s="51"/>
      <c r="K25" s="51"/>
      <c r="L25" s="48"/>
      <c r="M25" s="50"/>
      <c r="N25" s="51"/>
      <c r="O25" s="51"/>
      <c r="P25" s="51"/>
      <c r="Q25" s="51"/>
      <c r="R25" s="51"/>
      <c r="S25" s="51"/>
      <c r="T25" s="51"/>
      <c r="U25" s="51"/>
      <c r="V25" s="51"/>
      <c r="W25" s="51"/>
    </row>
    <row r="26" spans="1:23" s="46" customFormat="1" ht="12.75" customHeight="1" x14ac:dyDescent="0.2">
      <c r="A26" s="52"/>
      <c r="B26" s="53"/>
      <c r="C26" s="53"/>
      <c r="D26" s="53"/>
      <c r="E26" s="53"/>
      <c r="F26" s="53"/>
      <c r="G26" s="53"/>
      <c r="H26" s="53"/>
      <c r="I26" s="53"/>
      <c r="J26" s="53"/>
      <c r="K26" s="53"/>
      <c r="L26" s="38"/>
      <c r="M26" s="52"/>
      <c r="N26" s="53"/>
      <c r="O26" s="53"/>
      <c r="P26" s="53"/>
      <c r="Q26" s="53"/>
      <c r="R26" s="53"/>
      <c r="S26" s="53"/>
      <c r="T26" s="53"/>
      <c r="U26" s="53"/>
      <c r="V26" s="53"/>
      <c r="W26" s="53"/>
    </row>
    <row r="27" spans="1:23" s="49" customFormat="1" ht="12.75" customHeight="1" x14ac:dyDescent="0.2">
      <c r="A27" s="54"/>
      <c r="B27" s="54"/>
      <c r="C27" s="54"/>
      <c r="D27" s="54"/>
      <c r="E27" s="54"/>
      <c r="F27" s="54"/>
      <c r="G27" s="54"/>
      <c r="H27" s="54"/>
      <c r="I27" s="54"/>
      <c r="J27" s="54"/>
      <c r="K27" s="54"/>
      <c r="L27" s="48"/>
      <c r="M27" s="54"/>
      <c r="N27" s="54"/>
      <c r="O27" s="54"/>
      <c r="P27" s="54"/>
      <c r="Q27" s="54"/>
      <c r="R27" s="54"/>
      <c r="S27" s="54"/>
      <c r="T27" s="54"/>
      <c r="U27" s="54"/>
      <c r="V27" s="54"/>
      <c r="W27" s="54"/>
    </row>
    <row r="28" spans="1:23" s="55" customFormat="1" ht="12.75" customHeight="1" x14ac:dyDescent="0.15">
      <c r="L28" s="30"/>
    </row>
    <row r="29" spans="1:23" s="56" customFormat="1" ht="12.75" customHeight="1" x14ac:dyDescent="0.15">
      <c r="L29" s="33"/>
    </row>
    <row r="30" spans="1:23" s="49" customFormat="1" ht="12.75" customHeight="1" x14ac:dyDescent="0.2">
      <c r="A30" s="57"/>
      <c r="B30" s="57"/>
      <c r="F30" s="57"/>
      <c r="G30" s="57"/>
      <c r="K30" s="57"/>
      <c r="L30" s="48"/>
      <c r="M30" s="57"/>
      <c r="N30" s="57"/>
      <c r="R30" s="57"/>
      <c r="S30" s="57"/>
      <c r="W30" s="57"/>
    </row>
    <row r="31" spans="1:23" s="49" customFormat="1" ht="12.75" customHeight="1" x14ac:dyDescent="0.2">
      <c r="A31" s="57"/>
      <c r="B31" s="57"/>
      <c r="F31" s="57"/>
      <c r="G31" s="57"/>
      <c r="K31" s="57"/>
      <c r="L31" s="48"/>
      <c r="M31" s="57"/>
      <c r="N31" s="57"/>
      <c r="R31" s="57"/>
      <c r="S31" s="57"/>
      <c r="W31" s="57"/>
    </row>
    <row r="32" spans="1:23" s="46" customFormat="1" ht="12.75" customHeight="1" x14ac:dyDescent="0.2">
      <c r="A32" s="58"/>
      <c r="B32" s="54"/>
      <c r="C32" s="54"/>
      <c r="D32" s="54"/>
      <c r="E32" s="54"/>
      <c r="F32" s="54"/>
      <c r="G32" s="54"/>
      <c r="H32" s="54"/>
      <c r="I32" s="54"/>
      <c r="J32" s="54"/>
      <c r="K32" s="54"/>
      <c r="L32" s="38"/>
      <c r="M32" s="58"/>
      <c r="N32" s="54"/>
      <c r="O32" s="54"/>
      <c r="P32" s="54"/>
      <c r="Q32" s="54"/>
      <c r="R32" s="54"/>
      <c r="S32" s="54"/>
      <c r="T32" s="54"/>
      <c r="U32" s="54"/>
      <c r="V32" s="54"/>
      <c r="W32" s="54"/>
    </row>
    <row r="33" spans="1:23" s="46" customFormat="1" ht="12.75" customHeight="1" x14ac:dyDescent="0.2">
      <c r="A33" s="40"/>
      <c r="B33" s="45"/>
      <c r="C33" s="45"/>
      <c r="D33" s="45"/>
      <c r="E33" s="42"/>
      <c r="F33" s="43"/>
      <c r="G33" s="44"/>
      <c r="H33" s="59"/>
      <c r="I33" s="59"/>
      <c r="J33" s="59"/>
      <c r="K33" s="42"/>
      <c r="L33" s="38"/>
      <c r="M33" s="40"/>
      <c r="N33" s="45"/>
      <c r="O33" s="45"/>
      <c r="P33" s="45"/>
      <c r="Q33" s="42"/>
      <c r="R33" s="43"/>
      <c r="S33" s="44"/>
      <c r="T33" s="59"/>
      <c r="U33" s="59"/>
      <c r="V33" s="59"/>
      <c r="W33" s="42"/>
    </row>
    <row r="34" spans="1:23" s="46" customFormat="1" ht="12.75" customHeight="1" x14ac:dyDescent="0.2">
      <c r="A34" s="40"/>
      <c r="B34" s="45"/>
      <c r="C34" s="45"/>
      <c r="D34" s="45"/>
      <c r="E34" s="42"/>
      <c r="F34" s="43"/>
      <c r="G34" s="44"/>
      <c r="H34" s="45"/>
      <c r="I34" s="45"/>
      <c r="J34" s="45"/>
      <c r="K34" s="42"/>
      <c r="L34" s="38"/>
      <c r="M34" s="40"/>
      <c r="N34" s="45"/>
      <c r="O34" s="45"/>
      <c r="P34" s="45"/>
      <c r="Q34" s="42"/>
      <c r="R34" s="43"/>
      <c r="S34" s="44"/>
      <c r="T34" s="45"/>
      <c r="U34" s="45"/>
      <c r="V34" s="45"/>
      <c r="W34" s="42"/>
    </row>
    <row r="35" spans="1:23" s="46" customFormat="1" ht="12.75" customHeight="1" x14ac:dyDescent="0.2">
      <c r="A35" s="40"/>
      <c r="B35" s="41"/>
      <c r="C35" s="41"/>
      <c r="D35" s="41"/>
      <c r="E35" s="42"/>
      <c r="F35" s="43"/>
      <c r="G35" s="44"/>
      <c r="H35" s="45"/>
      <c r="I35" s="45"/>
      <c r="J35" s="45"/>
      <c r="K35" s="42"/>
      <c r="L35" s="38"/>
      <c r="M35" s="40"/>
      <c r="N35" s="41"/>
      <c r="O35" s="41"/>
      <c r="P35" s="41"/>
      <c r="Q35" s="42"/>
      <c r="R35" s="43"/>
      <c r="S35" s="44"/>
      <c r="T35" s="45"/>
      <c r="U35" s="45"/>
      <c r="V35" s="45"/>
      <c r="W35" s="42"/>
    </row>
    <row r="36" spans="1:23" s="49" customFormat="1" ht="12.75" customHeight="1" x14ac:dyDescent="0.2">
      <c r="A36" s="40"/>
      <c r="B36" s="40"/>
      <c r="C36" s="40"/>
      <c r="D36" s="40"/>
      <c r="E36" s="40"/>
      <c r="F36" s="40"/>
      <c r="G36" s="40"/>
      <c r="H36" s="40"/>
      <c r="I36" s="40"/>
      <c r="J36" s="40"/>
      <c r="K36" s="60"/>
      <c r="L36" s="48"/>
      <c r="M36" s="40"/>
      <c r="N36" s="40"/>
      <c r="O36" s="40"/>
      <c r="P36" s="40"/>
      <c r="Q36" s="40"/>
      <c r="R36" s="40"/>
      <c r="S36" s="40"/>
      <c r="T36" s="40"/>
      <c r="U36" s="40"/>
      <c r="V36" s="40"/>
      <c r="W36" s="60"/>
    </row>
    <row r="37" spans="1:23" s="49" customFormat="1" ht="12.75" customHeight="1" x14ac:dyDescent="0.2">
      <c r="A37" s="50"/>
      <c r="B37" s="51"/>
      <c r="C37" s="51"/>
      <c r="D37" s="51"/>
      <c r="E37" s="51"/>
      <c r="F37" s="51"/>
      <c r="G37" s="51"/>
      <c r="H37" s="51"/>
      <c r="I37" s="51"/>
      <c r="J37" s="51"/>
      <c r="K37" s="51"/>
      <c r="L37" s="48"/>
      <c r="M37" s="50"/>
      <c r="N37" s="51"/>
      <c r="O37" s="51"/>
      <c r="P37" s="51"/>
      <c r="Q37" s="51"/>
      <c r="R37" s="51"/>
      <c r="S37" s="51"/>
      <c r="T37" s="51"/>
      <c r="U37" s="51"/>
      <c r="V37" s="51"/>
      <c r="W37" s="51"/>
    </row>
    <row r="38" spans="1:23" s="46" customFormat="1" ht="12.75" customHeight="1" x14ac:dyDescent="0.2">
      <c r="A38" s="52"/>
      <c r="B38" s="53"/>
      <c r="C38" s="53"/>
      <c r="D38" s="53"/>
      <c r="E38" s="53"/>
      <c r="F38" s="53"/>
      <c r="G38" s="53"/>
      <c r="H38" s="53"/>
      <c r="I38" s="53"/>
      <c r="J38" s="53"/>
      <c r="K38" s="53"/>
      <c r="L38" s="38"/>
      <c r="M38" s="52"/>
      <c r="N38" s="53"/>
      <c r="O38" s="53"/>
      <c r="P38" s="53"/>
      <c r="Q38" s="53"/>
      <c r="R38" s="53"/>
      <c r="S38" s="53"/>
      <c r="T38" s="53"/>
      <c r="U38" s="53"/>
      <c r="V38" s="53"/>
      <c r="W38" s="53"/>
    </row>
    <row r="39" spans="1:23" s="49" customFormat="1" x14ac:dyDescent="0.2">
      <c r="L39" s="48"/>
    </row>
  </sheetData>
  <sheetProtection algorithmName="SHA-512" hashValue="SVi4I0kKH0eFgDPuxiJ8AXihlFkV3pBuZ5ewHBI4qNw3ecl/SAQykkBIyNEGyjR/wG0jNn675FlS9G6jpcpGPQ==" saltValue="h4UdSMU5J7vOumHa3VZw1A==" spinCount="100000" sheet="1" objects="1" scenarios="1"/>
  <dataConsolidate/>
  <mergeCells count="76">
    <mergeCell ref="A12:C12"/>
    <mergeCell ref="M12:O12"/>
    <mergeCell ref="R12:S12"/>
    <mergeCell ref="T22:V22"/>
    <mergeCell ref="B20:D20"/>
    <mergeCell ref="E20:F20"/>
    <mergeCell ref="H20:J20"/>
    <mergeCell ref="E21:F21"/>
    <mergeCell ref="H21:J21"/>
    <mergeCell ref="Q21:R21"/>
    <mergeCell ref="T21:V21"/>
    <mergeCell ref="N20:P20"/>
    <mergeCell ref="Q20:R20"/>
    <mergeCell ref="T20:V20"/>
    <mergeCell ref="B22:D22"/>
    <mergeCell ref="E22:F22"/>
    <mergeCell ref="H22:J22"/>
    <mergeCell ref="N22:P22"/>
    <mergeCell ref="Q22:R22"/>
    <mergeCell ref="T19:V19"/>
    <mergeCell ref="A18:K18"/>
    <mergeCell ref="M18:W18"/>
    <mergeCell ref="B19:D19"/>
    <mergeCell ref="E19:F19"/>
    <mergeCell ref="H19:J19"/>
    <mergeCell ref="N19:P19"/>
    <mergeCell ref="Q19:R19"/>
    <mergeCell ref="A10:C10"/>
    <mergeCell ref="F10:G10"/>
    <mergeCell ref="M10:O10"/>
    <mergeCell ref="R10:S10"/>
    <mergeCell ref="A11:C11"/>
    <mergeCell ref="F11:G11"/>
    <mergeCell ref="M11:O11"/>
    <mergeCell ref="R11:S11"/>
    <mergeCell ref="A14:K14"/>
    <mergeCell ref="M14:W14"/>
    <mergeCell ref="E16:F16"/>
    <mergeCell ref="B17:I17"/>
    <mergeCell ref="J17:K17"/>
    <mergeCell ref="N16:P16"/>
    <mergeCell ref="Q16:R16"/>
    <mergeCell ref="N15:P15"/>
    <mergeCell ref="Q15:R15"/>
    <mergeCell ref="T15:V15"/>
    <mergeCell ref="V17:W17"/>
    <mergeCell ref="A9:C9"/>
    <mergeCell ref="F9:G9"/>
    <mergeCell ref="M9:O9"/>
    <mergeCell ref="R9:S9"/>
    <mergeCell ref="N17:U17"/>
    <mergeCell ref="T16:V16"/>
    <mergeCell ref="B16:D16"/>
    <mergeCell ref="H16:J16"/>
    <mergeCell ref="B15:D15"/>
    <mergeCell ref="E15:F15"/>
    <mergeCell ref="H15:J15"/>
    <mergeCell ref="A13:C13"/>
    <mergeCell ref="F13:G13"/>
    <mergeCell ref="M13:O13"/>
    <mergeCell ref="R13:S13"/>
    <mergeCell ref="F12:G12"/>
    <mergeCell ref="A1:K1"/>
    <mergeCell ref="M1:W1"/>
    <mergeCell ref="A8:K8"/>
    <mergeCell ref="M8:W8"/>
    <mergeCell ref="B6:C6"/>
    <mergeCell ref="E6:H6"/>
    <mergeCell ref="N6:O6"/>
    <mergeCell ref="Q6:T6"/>
    <mergeCell ref="A2:K2"/>
    <mergeCell ref="M2:W2"/>
    <mergeCell ref="B4:C4"/>
    <mergeCell ref="E4:J4"/>
    <mergeCell ref="N4:O4"/>
    <mergeCell ref="Q4:V4"/>
  </mergeCells>
  <conditionalFormatting sqref="K22 W22">
    <cfRule type="cellIs" dxfId="2" priority="4" stopIfTrue="1" operator="lessThan">
      <formula>0</formula>
    </cfRule>
  </conditionalFormatting>
  <conditionalFormatting sqref="P12">
    <cfRule type="cellIs" dxfId="1" priority="3" stopIfTrue="1" operator="lessThan">
      <formula>0</formula>
    </cfRule>
  </conditionalFormatting>
  <dataValidations count="2">
    <dataValidation allowBlank="1" showInputMessage="1" showErrorMessage="1" prompt="This is the original amount sub-allocated to each service provider. This should reflect the total amount prior to transfers or adjustments." sqref="D13 P13 D11 P11" xr:uid="{00000000-0002-0000-0300-000000000000}"/>
    <dataValidation allowBlank="1" showInputMessage="1" showErrorMessage="1" prompt="A local share of 10% is required.  If fare revenue is not enough to meet this requirement showing in box 59, a local contribution is necessary in box 58.  The sum of 57 and 58 should be equal to 59." sqref="E15:F15 Q15:R15" xr:uid="{00000000-0002-0000-0300-000001000000}"/>
  </dataValidations>
  <pageMargins left="0.5" right="0.5" top="0.7" bottom="0.6" header="0.5" footer="0.5"/>
  <pageSetup scale="3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sheetPr>
  <dimension ref="A1:P30"/>
  <sheetViews>
    <sheetView showGridLines="0" topLeftCell="A4" zoomScaleNormal="100" workbookViewId="0">
      <selection activeCell="N6" sqref="N6"/>
    </sheetView>
  </sheetViews>
  <sheetFormatPr defaultColWidth="9.140625" defaultRowHeight="12.75" x14ac:dyDescent="0.2"/>
  <cols>
    <col min="1" max="1" width="8.85546875" style="19" customWidth="1"/>
    <col min="2" max="2" width="21.7109375" style="19" customWidth="1"/>
    <col min="3" max="3" width="17.140625" style="19" customWidth="1"/>
    <col min="4" max="4" width="2" style="19" customWidth="1"/>
    <col min="5" max="5" width="21.7109375" style="19" customWidth="1"/>
    <col min="6" max="6" width="18.5703125" style="19" bestFit="1" customWidth="1"/>
    <col min="7" max="7" width="2" style="19" customWidth="1"/>
    <col min="8" max="8" width="21.7109375" style="19" customWidth="1"/>
    <col min="9" max="9" width="18.5703125" style="19" bestFit="1" customWidth="1"/>
    <col min="10" max="10" width="2" style="19" customWidth="1"/>
    <col min="11" max="11" width="9.5703125" style="19" customWidth="1"/>
    <col min="12" max="12" width="13.5703125" style="19" customWidth="1"/>
    <col min="13" max="13" width="2.140625" style="19" customWidth="1"/>
    <col min="14" max="14" width="13.85546875" style="19" customWidth="1"/>
    <col min="15" max="15" width="13.5703125" style="19" customWidth="1"/>
    <col min="16" max="16384" width="9.140625" style="19"/>
  </cols>
  <sheetData>
    <row r="1" spans="1:16" ht="18" x14ac:dyDescent="0.2">
      <c r="A1" s="521" t="str">
        <f>LEFT( Overview!A3, 4) &amp; " NCDOT ROAP Report"</f>
        <v>FY20 NCDOT ROAP Report</v>
      </c>
      <c r="B1" s="522"/>
      <c r="C1" s="522"/>
      <c r="D1" s="522"/>
      <c r="E1" s="522"/>
      <c r="F1" s="522"/>
      <c r="G1" s="522"/>
      <c r="H1" s="522"/>
      <c r="I1" s="523"/>
      <c r="J1" s="204"/>
      <c r="K1" s="204"/>
      <c r="L1" s="204"/>
      <c r="M1" s="204"/>
      <c r="N1" s="204"/>
      <c r="O1" s="204"/>
      <c r="P1" s="4"/>
    </row>
    <row r="2" spans="1:16" ht="18.75" thickBot="1" x14ac:dyDescent="0.25">
      <c r="A2" s="524" t="s">
        <v>386</v>
      </c>
      <c r="B2" s="525"/>
      <c r="C2" s="525"/>
      <c r="D2" s="525"/>
      <c r="E2" s="525"/>
      <c r="F2" s="525"/>
      <c r="G2" s="525"/>
      <c r="H2" s="525"/>
      <c r="I2" s="526"/>
      <c r="J2" s="205"/>
      <c r="K2" s="115"/>
      <c r="L2" s="115"/>
      <c r="M2" s="115"/>
      <c r="N2" s="115"/>
      <c r="O2" s="115"/>
      <c r="P2" s="4"/>
    </row>
    <row r="3" spans="1:16" ht="24" customHeight="1" thickBot="1" x14ac:dyDescent="0.25">
      <c r="A3" s="519" t="s">
        <v>357</v>
      </c>
      <c r="B3" s="520"/>
      <c r="C3" s="520"/>
      <c r="D3" s="520"/>
      <c r="E3" s="520"/>
      <c r="F3" s="520"/>
      <c r="G3" s="520"/>
      <c r="H3" s="520"/>
      <c r="I3" s="520"/>
      <c r="J3" s="154"/>
      <c r="K3" s="154"/>
      <c r="L3" s="154"/>
      <c r="M3" s="180"/>
      <c r="N3" s="180"/>
      <c r="O3" s="180"/>
      <c r="P3" s="180"/>
    </row>
    <row r="4" spans="1:16" x14ac:dyDescent="0.2">
      <c r="A4" s="535" t="s">
        <v>349</v>
      </c>
      <c r="B4" s="536"/>
      <c r="C4" s="537"/>
      <c r="D4" s="209"/>
      <c r="E4" s="538" t="s">
        <v>350</v>
      </c>
      <c r="F4" s="539"/>
      <c r="G4" s="180"/>
      <c r="H4" s="535" t="s">
        <v>359</v>
      </c>
      <c r="I4" s="537"/>
      <c r="K4" s="4"/>
    </row>
    <row r="5" spans="1:16" s="155" customFormat="1" x14ac:dyDescent="0.2">
      <c r="A5" s="210"/>
      <c r="B5" s="211">
        <f>RGP!G22+1</f>
        <v>70</v>
      </c>
      <c r="C5" s="212">
        <f>B5+1</f>
        <v>71</v>
      </c>
      <c r="D5" s="209"/>
      <c r="E5" s="210">
        <f>B5</f>
        <v>70</v>
      </c>
      <c r="F5" s="212">
        <f>C5</f>
        <v>71</v>
      </c>
      <c r="G5" s="209"/>
      <c r="H5" s="210">
        <f>F5+1</f>
        <v>72</v>
      </c>
      <c r="I5" s="212">
        <f>H5+1</f>
        <v>73</v>
      </c>
    </row>
    <row r="6" spans="1:16" ht="51" customHeight="1" x14ac:dyDescent="0.2">
      <c r="A6" s="213"/>
      <c r="B6" s="214" t="s">
        <v>387</v>
      </c>
      <c r="C6" s="216" t="s">
        <v>352</v>
      </c>
      <c r="D6" s="209"/>
      <c r="E6" s="215" t="s">
        <v>387</v>
      </c>
      <c r="F6" s="216" t="s">
        <v>352</v>
      </c>
      <c r="G6" s="180"/>
      <c r="H6" s="215" t="s">
        <v>393</v>
      </c>
      <c r="I6" s="216" t="s">
        <v>353</v>
      </c>
    </row>
    <row r="7" spans="1:16" x14ac:dyDescent="0.2">
      <c r="A7" s="217" t="s">
        <v>245</v>
      </c>
      <c r="B7" s="328"/>
      <c r="C7" s="218">
        <f>IF(EDTAP!K36&lt;0,-EDTAP!K36,0)</f>
        <v>0</v>
      </c>
      <c r="D7" s="209"/>
      <c r="E7" s="331"/>
      <c r="F7" s="218">
        <f>IF(EDTAP!W36&lt;0,-EDTAP!W36,0)-C7</f>
        <v>0</v>
      </c>
      <c r="G7" s="180"/>
      <c r="H7" s="317">
        <f>B7+E7</f>
        <v>0</v>
      </c>
      <c r="I7" s="219">
        <f t="shared" ref="I7:I8" si="0">C7+F7</f>
        <v>0</v>
      </c>
      <c r="J7" s="527"/>
      <c r="K7" s="527"/>
      <c r="L7" s="527"/>
    </row>
    <row r="8" spans="1:16" x14ac:dyDescent="0.2">
      <c r="A8" s="217" t="s">
        <v>247</v>
      </c>
      <c r="B8" s="329"/>
      <c r="C8" s="219">
        <f>IF(EMPL!K24&lt;0,-EMPL!K24,0)</f>
        <v>0</v>
      </c>
      <c r="D8" s="209"/>
      <c r="E8" s="332"/>
      <c r="F8" s="219">
        <f>IF(EMPL!W24&lt;0,-EMPL!W24,0)-C8</f>
        <v>0</v>
      </c>
      <c r="G8" s="180"/>
      <c r="H8" s="317">
        <f t="shared" ref="H8:H9" si="1">B8+E8</f>
        <v>0</v>
      </c>
      <c r="I8" s="318">
        <f t="shared" si="0"/>
        <v>0</v>
      </c>
      <c r="J8" s="527"/>
      <c r="K8" s="527"/>
      <c r="L8" s="527"/>
    </row>
    <row r="9" spans="1:16" ht="13.5" thickBot="1" x14ac:dyDescent="0.25">
      <c r="A9" s="220" t="s">
        <v>246</v>
      </c>
      <c r="B9" s="330"/>
      <c r="C9" s="221">
        <f>IF(RGP!K22&lt;0,-RGP!K22,0)</f>
        <v>0</v>
      </c>
      <c r="D9" s="209"/>
      <c r="E9" s="333"/>
      <c r="F9" s="222">
        <f>IF(RGP!W22&lt;0,-RGP!W22,0)-C9</f>
        <v>0</v>
      </c>
      <c r="G9" s="181"/>
      <c r="H9" s="319">
        <f t="shared" si="1"/>
        <v>0</v>
      </c>
      <c r="I9" s="221">
        <f>C9+F9</f>
        <v>0</v>
      </c>
      <c r="J9" s="527"/>
      <c r="K9" s="527"/>
      <c r="L9" s="527"/>
    </row>
    <row r="10" spans="1:16" ht="12.75" customHeight="1" x14ac:dyDescent="0.2">
      <c r="A10" s="534" t="s">
        <v>355</v>
      </c>
      <c r="B10" s="534"/>
      <c r="C10" s="534"/>
      <c r="D10" s="534"/>
      <c r="E10" s="534"/>
      <c r="F10" s="534"/>
      <c r="G10" s="534"/>
      <c r="H10" s="534"/>
      <c r="I10" s="534"/>
      <c r="J10" s="534"/>
      <c r="K10" s="534"/>
      <c r="L10" s="534"/>
    </row>
    <row r="11" spans="1:16" ht="12.75" customHeight="1" x14ac:dyDescent="0.2">
      <c r="A11" s="534"/>
      <c r="B11" s="534"/>
      <c r="C11" s="534"/>
      <c r="D11" s="534"/>
      <c r="E11" s="534"/>
      <c r="F11" s="534"/>
      <c r="G11" s="534"/>
      <c r="H11" s="534"/>
      <c r="I11" s="534"/>
      <c r="J11" s="534"/>
      <c r="K11" s="534"/>
      <c r="L11" s="534"/>
    </row>
    <row r="12" spans="1:16" ht="12.75" customHeight="1" x14ac:dyDescent="0.2">
      <c r="A12" s="534"/>
      <c r="B12" s="534"/>
      <c r="C12" s="534"/>
      <c r="D12" s="534"/>
      <c r="E12" s="534"/>
      <c r="F12" s="534"/>
      <c r="G12" s="534"/>
      <c r="H12" s="534"/>
      <c r="I12" s="534"/>
      <c r="J12" s="534"/>
      <c r="K12" s="534"/>
      <c r="L12" s="534"/>
    </row>
    <row r="13" spans="1:16" ht="12.75" customHeight="1" x14ac:dyDescent="0.2">
      <c r="A13" s="534"/>
      <c r="B13" s="534"/>
      <c r="C13" s="534"/>
      <c r="D13" s="534"/>
      <c r="E13" s="534"/>
      <c r="F13" s="534"/>
      <c r="G13" s="534"/>
      <c r="H13" s="534"/>
      <c r="I13" s="534"/>
      <c r="J13" s="534"/>
      <c r="K13" s="534"/>
      <c r="L13" s="534"/>
    </row>
    <row r="14" spans="1:16" ht="12.75" customHeight="1" x14ac:dyDescent="0.2">
      <c r="A14" s="534"/>
      <c r="B14" s="534"/>
      <c r="C14" s="534"/>
      <c r="D14" s="534"/>
      <c r="E14" s="534"/>
      <c r="F14" s="534"/>
      <c r="G14" s="534"/>
      <c r="H14" s="534"/>
      <c r="I14" s="534"/>
      <c r="J14" s="534"/>
      <c r="K14" s="534"/>
      <c r="L14" s="534"/>
    </row>
    <row r="22" spans="1:12" ht="13.5" thickBot="1" x14ac:dyDescent="0.25"/>
    <row r="23" spans="1:12" x14ac:dyDescent="0.2">
      <c r="A23" s="528" t="s">
        <v>314</v>
      </c>
      <c r="B23" s="529"/>
      <c r="C23" s="529"/>
      <c r="D23" s="155"/>
      <c r="E23" s="530" t="s">
        <v>315</v>
      </c>
      <c r="F23" s="531"/>
      <c r="G23" s="4"/>
      <c r="H23" s="532" t="s">
        <v>313</v>
      </c>
      <c r="I23" s="533"/>
    </row>
    <row r="24" spans="1:12" s="155" customFormat="1" x14ac:dyDescent="0.2">
      <c r="A24" s="156"/>
      <c r="B24" s="157">
        <f>RGP!G38+1</f>
        <v>1</v>
      </c>
      <c r="C24" s="157">
        <f>B24+1</f>
        <v>2</v>
      </c>
      <c r="D24" s="158"/>
      <c r="E24" s="157">
        <f>B24</f>
        <v>1</v>
      </c>
      <c r="F24" s="157">
        <f>C24</f>
        <v>2</v>
      </c>
      <c r="G24" s="158"/>
      <c r="H24" s="156">
        <f>F24+1</f>
        <v>3</v>
      </c>
      <c r="I24" s="159">
        <f>H24+1</f>
        <v>4</v>
      </c>
    </row>
    <row r="25" spans="1:12" ht="42" customHeight="1" x14ac:dyDescent="0.2">
      <c r="A25" s="160"/>
      <c r="B25" s="32" t="s">
        <v>356</v>
      </c>
      <c r="C25" s="32" t="s">
        <v>354</v>
      </c>
      <c r="D25" s="155"/>
      <c r="E25" s="32" t="s">
        <v>356</v>
      </c>
      <c r="F25" s="32" t="s">
        <v>354</v>
      </c>
      <c r="G25" s="4"/>
      <c r="H25" s="32" t="s">
        <v>356</v>
      </c>
      <c r="I25" s="32" t="s">
        <v>354</v>
      </c>
    </row>
    <row r="26" spans="1:12" x14ac:dyDescent="0.2">
      <c r="A26" s="10" t="s">
        <v>245</v>
      </c>
      <c r="B26" s="35">
        <f>EDTAP!K33</f>
        <v>0</v>
      </c>
      <c r="C26" s="149">
        <f>EDTAP!J27</f>
        <v>0</v>
      </c>
      <c r="D26" s="161"/>
      <c r="E26" s="35">
        <f>EDTAP!W33</f>
        <v>0</v>
      </c>
      <c r="F26" s="149">
        <f>EDTAP!V27</f>
        <v>0</v>
      </c>
      <c r="G26" s="162"/>
      <c r="H26" s="170">
        <f>SUM(B26,E26)</f>
        <v>0</v>
      </c>
      <c r="I26" s="163">
        <f>SUM(C26+F26)</f>
        <v>0</v>
      </c>
      <c r="J26" s="527"/>
      <c r="K26" s="527"/>
      <c r="L26" s="527"/>
    </row>
    <row r="27" spans="1:12" x14ac:dyDescent="0.2">
      <c r="A27" s="10" t="s">
        <v>247</v>
      </c>
      <c r="B27" s="171">
        <f>EMPL!K21</f>
        <v>0</v>
      </c>
      <c r="C27" s="164">
        <f>EMPL!J15</f>
        <v>0</v>
      </c>
      <c r="D27" s="161"/>
      <c r="E27" s="171">
        <f>EMPL!W21</f>
        <v>0</v>
      </c>
      <c r="F27" s="164">
        <f>EMPL!V15</f>
        <v>0</v>
      </c>
      <c r="G27" s="162"/>
      <c r="H27" s="172">
        <f>SUM(B27,E27)</f>
        <v>0</v>
      </c>
      <c r="I27" s="165">
        <f>SUM(C27+F27)</f>
        <v>0</v>
      </c>
      <c r="J27" s="527"/>
      <c r="K27" s="527"/>
      <c r="L27" s="527"/>
    </row>
    <row r="28" spans="1:12" ht="13.5" thickBot="1" x14ac:dyDescent="0.25">
      <c r="A28" s="11" t="s">
        <v>246</v>
      </c>
      <c r="B28" s="173">
        <f>RGP!K19/0.9</f>
        <v>0</v>
      </c>
      <c r="C28" s="166">
        <f>RGP!I11</f>
        <v>0</v>
      </c>
      <c r="D28" s="167"/>
      <c r="E28" s="173">
        <f>RGP!W19/0.9</f>
        <v>0</v>
      </c>
      <c r="F28" s="166">
        <f>RGP!U11</f>
        <v>0</v>
      </c>
      <c r="G28" s="168"/>
      <c r="H28" s="174">
        <f>SUM(B28,E28)</f>
        <v>0</v>
      </c>
      <c r="I28" s="169">
        <f>SUM(C28+F28)</f>
        <v>0</v>
      </c>
      <c r="J28" s="527"/>
      <c r="K28" s="527"/>
      <c r="L28" s="527"/>
    </row>
    <row r="30" spans="1:12" x14ac:dyDescent="0.2">
      <c r="A30" s="179" t="s">
        <v>332</v>
      </c>
    </row>
  </sheetData>
  <sheetProtection password="9784" sheet="1" objects="1" scenarios="1"/>
  <mergeCells count="12">
    <mergeCell ref="A3:I3"/>
    <mergeCell ref="A1:I1"/>
    <mergeCell ref="A2:I2"/>
    <mergeCell ref="J26:L28"/>
    <mergeCell ref="A23:C23"/>
    <mergeCell ref="E23:F23"/>
    <mergeCell ref="H23:I23"/>
    <mergeCell ref="A10:L14"/>
    <mergeCell ref="J7:L9"/>
    <mergeCell ref="A4:C4"/>
    <mergeCell ref="E4:F4"/>
    <mergeCell ref="H4:I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7" tint="0.39997558519241921"/>
    <pageSetUpPr fitToPage="1"/>
  </sheetPr>
  <dimension ref="A1:G55"/>
  <sheetViews>
    <sheetView showGridLines="0" workbookViewId="0">
      <pane ySplit="5" topLeftCell="A6" activePane="bottomLeft" state="frozen"/>
      <selection pane="bottomLeft" activeCell="A6" sqref="A6"/>
    </sheetView>
  </sheetViews>
  <sheetFormatPr defaultColWidth="9.140625" defaultRowHeight="12.75" x14ac:dyDescent="0.2"/>
  <cols>
    <col min="1" max="1" width="8.140625" style="117" customWidth="1"/>
    <col min="2" max="2" width="16.85546875" style="117" customWidth="1"/>
    <col min="3" max="3" width="27.28515625" style="117" customWidth="1"/>
    <col min="4" max="4" width="32.5703125" style="117" customWidth="1"/>
    <col min="5" max="5" width="22.28515625" style="117" customWidth="1"/>
    <col min="6" max="6" width="32.5703125" style="117" customWidth="1"/>
    <col min="7" max="7" width="18.7109375" style="117" customWidth="1"/>
    <col min="8" max="16384" width="9.140625" style="117"/>
  </cols>
  <sheetData>
    <row r="1" spans="1:7" customFormat="1" ht="18" x14ac:dyDescent="0.2">
      <c r="A1" s="540" t="str">
        <f>'Additional Trips and Funds'!A1:O1</f>
        <v>FY20 NCDOT ROAP Report</v>
      </c>
      <c r="B1" s="541"/>
      <c r="C1" s="541"/>
      <c r="D1" s="541"/>
      <c r="E1" s="541"/>
      <c r="F1" s="541"/>
      <c r="G1" s="542"/>
    </row>
    <row r="2" spans="1:7" customFormat="1" ht="15.75" x14ac:dyDescent="0.2">
      <c r="A2" s="543" t="s">
        <v>324</v>
      </c>
      <c r="B2" s="544"/>
      <c r="C2" s="544"/>
      <c r="D2" s="544"/>
      <c r="E2" s="544"/>
      <c r="F2" s="544"/>
      <c r="G2" s="545"/>
    </row>
    <row r="3" spans="1:7" x14ac:dyDescent="0.2">
      <c r="A3" s="146"/>
      <c r="B3" s="147"/>
      <c r="C3" s="147"/>
      <c r="D3" s="147"/>
      <c r="E3" s="147"/>
      <c r="F3" s="147"/>
      <c r="G3" s="148"/>
    </row>
    <row r="4" spans="1:7" x14ac:dyDescent="0.2">
      <c r="A4" s="269">
        <f>'Additional Trips and Funds'!I5+1</f>
        <v>74</v>
      </c>
      <c r="B4" s="270">
        <f t="shared" ref="B4:G4" si="0">A4+1</f>
        <v>75</v>
      </c>
      <c r="C4" s="273">
        <f t="shared" si="0"/>
        <v>76</v>
      </c>
      <c r="D4" s="274">
        <f t="shared" si="0"/>
        <v>77</v>
      </c>
      <c r="E4" s="273">
        <f t="shared" si="0"/>
        <v>78</v>
      </c>
      <c r="F4" s="271">
        <f t="shared" si="0"/>
        <v>79</v>
      </c>
      <c r="G4" s="272">
        <f t="shared" si="0"/>
        <v>80</v>
      </c>
    </row>
    <row r="5" spans="1:7" ht="22.5" customHeight="1" x14ac:dyDescent="0.2">
      <c r="A5" s="176" t="s">
        <v>376</v>
      </c>
      <c r="B5" s="175" t="s">
        <v>22</v>
      </c>
      <c r="C5" s="178" t="s">
        <v>377</v>
      </c>
      <c r="D5" s="275" t="s">
        <v>378</v>
      </c>
      <c r="E5" s="177" t="s">
        <v>379</v>
      </c>
      <c r="F5" s="151" t="s">
        <v>380</v>
      </c>
      <c r="G5" s="152" t="s">
        <v>381</v>
      </c>
    </row>
    <row r="6" spans="1:7" ht="21" customHeight="1" x14ac:dyDescent="0.2">
      <c r="A6" s="334"/>
      <c r="B6" s="335"/>
      <c r="C6" s="336"/>
      <c r="D6" s="337"/>
      <c r="E6" s="338"/>
      <c r="F6" s="339"/>
      <c r="G6" s="340"/>
    </row>
    <row r="7" spans="1:7" ht="21" customHeight="1" x14ac:dyDescent="0.2">
      <c r="A7" s="334"/>
      <c r="B7" s="335"/>
      <c r="C7" s="336"/>
      <c r="D7" s="337"/>
      <c r="E7" s="338"/>
      <c r="F7" s="339"/>
      <c r="G7" s="340"/>
    </row>
    <row r="8" spans="1:7" ht="21" customHeight="1" x14ac:dyDescent="0.2">
      <c r="A8" s="334"/>
      <c r="B8" s="335"/>
      <c r="C8" s="336"/>
      <c r="D8" s="337"/>
      <c r="E8" s="338"/>
      <c r="F8" s="339"/>
      <c r="G8" s="340"/>
    </row>
    <row r="9" spans="1:7" ht="21" customHeight="1" x14ac:dyDescent="0.2">
      <c r="A9" s="334"/>
      <c r="B9" s="335"/>
      <c r="C9" s="336"/>
      <c r="D9" s="337"/>
      <c r="E9" s="338"/>
      <c r="F9" s="339"/>
      <c r="G9" s="340"/>
    </row>
    <row r="10" spans="1:7" ht="21" customHeight="1" x14ac:dyDescent="0.2">
      <c r="A10" s="334"/>
      <c r="B10" s="335"/>
      <c r="C10" s="336"/>
      <c r="D10" s="337"/>
      <c r="E10" s="338"/>
      <c r="F10" s="339"/>
      <c r="G10" s="340"/>
    </row>
    <row r="11" spans="1:7" ht="21" customHeight="1" x14ac:dyDescent="0.2">
      <c r="A11" s="334"/>
      <c r="B11" s="335"/>
      <c r="C11" s="336"/>
      <c r="D11" s="337"/>
      <c r="E11" s="338"/>
      <c r="F11" s="339"/>
      <c r="G11" s="340"/>
    </row>
    <row r="12" spans="1:7" ht="21" customHeight="1" x14ac:dyDescent="0.2">
      <c r="A12" s="334"/>
      <c r="B12" s="335"/>
      <c r="C12" s="336"/>
      <c r="D12" s="337"/>
      <c r="E12" s="338"/>
      <c r="F12" s="339"/>
      <c r="G12" s="340"/>
    </row>
    <row r="13" spans="1:7" ht="21" customHeight="1" x14ac:dyDescent="0.2">
      <c r="A13" s="334"/>
      <c r="B13" s="335"/>
      <c r="C13" s="336"/>
      <c r="D13" s="337"/>
      <c r="E13" s="338"/>
      <c r="F13" s="339"/>
      <c r="G13" s="340"/>
    </row>
    <row r="14" spans="1:7" ht="21" customHeight="1" x14ac:dyDescent="0.2">
      <c r="A14" s="334"/>
      <c r="B14" s="335"/>
      <c r="C14" s="336"/>
      <c r="D14" s="337"/>
      <c r="E14" s="338"/>
      <c r="F14" s="339"/>
      <c r="G14" s="340"/>
    </row>
    <row r="15" spans="1:7" ht="21" customHeight="1" x14ac:dyDescent="0.2">
      <c r="A15" s="334"/>
      <c r="B15" s="335"/>
      <c r="C15" s="336"/>
      <c r="D15" s="337"/>
      <c r="E15" s="338"/>
      <c r="F15" s="339"/>
      <c r="G15" s="340"/>
    </row>
    <row r="16" spans="1:7" ht="21" customHeight="1" x14ac:dyDescent="0.2">
      <c r="A16" s="334"/>
      <c r="B16" s="335"/>
      <c r="C16" s="336"/>
      <c r="D16" s="337"/>
      <c r="E16" s="338"/>
      <c r="F16" s="339"/>
      <c r="G16" s="340"/>
    </row>
    <row r="17" spans="1:7" ht="21" customHeight="1" x14ac:dyDescent="0.2">
      <c r="A17" s="334"/>
      <c r="B17" s="335"/>
      <c r="C17" s="336"/>
      <c r="D17" s="337"/>
      <c r="E17" s="338"/>
      <c r="F17" s="339"/>
      <c r="G17" s="340"/>
    </row>
    <row r="18" spans="1:7" ht="21" customHeight="1" x14ac:dyDescent="0.2">
      <c r="A18" s="334"/>
      <c r="B18" s="335"/>
      <c r="C18" s="336"/>
      <c r="D18" s="337"/>
      <c r="E18" s="338"/>
      <c r="F18" s="339"/>
      <c r="G18" s="340"/>
    </row>
    <row r="19" spans="1:7" ht="21" customHeight="1" x14ac:dyDescent="0.2">
      <c r="A19" s="334"/>
      <c r="B19" s="335"/>
      <c r="C19" s="336"/>
      <c r="D19" s="337"/>
      <c r="E19" s="338"/>
      <c r="F19" s="339"/>
      <c r="G19" s="340"/>
    </row>
    <row r="20" spans="1:7" ht="21" customHeight="1" x14ac:dyDescent="0.2">
      <c r="A20" s="334"/>
      <c r="B20" s="335"/>
      <c r="C20" s="336"/>
      <c r="D20" s="337"/>
      <c r="E20" s="338"/>
      <c r="F20" s="339"/>
      <c r="G20" s="340"/>
    </row>
    <row r="21" spans="1:7" ht="21" customHeight="1" x14ac:dyDescent="0.2">
      <c r="A21" s="334"/>
      <c r="B21" s="335"/>
      <c r="C21" s="336"/>
      <c r="D21" s="337"/>
      <c r="E21" s="338"/>
      <c r="F21" s="339"/>
      <c r="G21" s="340"/>
    </row>
    <row r="22" spans="1:7" ht="21" customHeight="1" x14ac:dyDescent="0.2">
      <c r="A22" s="334"/>
      <c r="B22" s="335"/>
      <c r="C22" s="336"/>
      <c r="D22" s="337"/>
      <c r="E22" s="338"/>
      <c r="F22" s="339"/>
      <c r="G22" s="340"/>
    </row>
    <row r="23" spans="1:7" ht="21" customHeight="1" x14ac:dyDescent="0.2">
      <c r="A23" s="334"/>
      <c r="B23" s="335"/>
      <c r="C23" s="336"/>
      <c r="D23" s="337"/>
      <c r="E23" s="338"/>
      <c r="F23" s="339"/>
      <c r="G23" s="340"/>
    </row>
    <row r="24" spans="1:7" ht="21" customHeight="1" x14ac:dyDescent="0.2">
      <c r="A24" s="334"/>
      <c r="B24" s="335"/>
      <c r="C24" s="336"/>
      <c r="D24" s="337"/>
      <c r="E24" s="338"/>
      <c r="F24" s="339"/>
      <c r="G24" s="340"/>
    </row>
    <row r="25" spans="1:7" ht="21" customHeight="1" x14ac:dyDescent="0.2">
      <c r="A25" s="334"/>
      <c r="B25" s="335"/>
      <c r="C25" s="336"/>
      <c r="D25" s="337"/>
      <c r="E25" s="338"/>
      <c r="F25" s="339"/>
      <c r="G25" s="340"/>
    </row>
    <row r="26" spans="1:7" ht="21" customHeight="1" x14ac:dyDescent="0.2">
      <c r="A26" s="334"/>
      <c r="B26" s="335"/>
      <c r="C26" s="336"/>
      <c r="D26" s="337"/>
      <c r="E26" s="338"/>
      <c r="F26" s="339"/>
      <c r="G26" s="340"/>
    </row>
    <row r="27" spans="1:7" ht="21" customHeight="1" x14ac:dyDescent="0.2">
      <c r="A27" s="334"/>
      <c r="B27" s="335"/>
      <c r="C27" s="336"/>
      <c r="D27" s="337"/>
      <c r="E27" s="338"/>
      <c r="F27" s="339"/>
      <c r="G27" s="340"/>
    </row>
    <row r="28" spans="1:7" ht="21" customHeight="1" x14ac:dyDescent="0.2">
      <c r="A28" s="334"/>
      <c r="B28" s="335"/>
      <c r="C28" s="336"/>
      <c r="D28" s="337"/>
      <c r="E28" s="338"/>
      <c r="F28" s="339"/>
      <c r="G28" s="340"/>
    </row>
    <row r="29" spans="1:7" ht="21" customHeight="1" x14ac:dyDescent="0.2">
      <c r="A29" s="334"/>
      <c r="B29" s="335"/>
      <c r="C29" s="336"/>
      <c r="D29" s="337"/>
      <c r="E29" s="338"/>
      <c r="F29" s="339"/>
      <c r="G29" s="340"/>
    </row>
    <row r="30" spans="1:7" ht="21" customHeight="1" x14ac:dyDescent="0.2">
      <c r="A30" s="334"/>
      <c r="B30" s="335"/>
      <c r="C30" s="336"/>
      <c r="D30" s="337"/>
      <c r="E30" s="338"/>
      <c r="F30" s="339"/>
      <c r="G30" s="340"/>
    </row>
    <row r="31" spans="1:7" ht="21" customHeight="1" x14ac:dyDescent="0.2">
      <c r="A31" s="334"/>
      <c r="B31" s="335"/>
      <c r="C31" s="336"/>
      <c r="D31" s="337"/>
      <c r="E31" s="338"/>
      <c r="F31" s="339"/>
      <c r="G31" s="340"/>
    </row>
    <row r="32" spans="1:7" ht="21" customHeight="1" x14ac:dyDescent="0.2">
      <c r="A32" s="334"/>
      <c r="B32" s="335"/>
      <c r="C32" s="336"/>
      <c r="D32" s="337"/>
      <c r="E32" s="338"/>
      <c r="F32" s="339"/>
      <c r="G32" s="340"/>
    </row>
    <row r="33" spans="1:7" ht="21" customHeight="1" x14ac:dyDescent="0.2">
      <c r="A33" s="334"/>
      <c r="B33" s="335"/>
      <c r="C33" s="336"/>
      <c r="D33" s="337"/>
      <c r="E33" s="338"/>
      <c r="F33" s="339"/>
      <c r="G33" s="340"/>
    </row>
    <row r="34" spans="1:7" ht="21" customHeight="1" x14ac:dyDescent="0.2">
      <c r="A34" s="334"/>
      <c r="B34" s="335"/>
      <c r="C34" s="336"/>
      <c r="D34" s="337"/>
      <c r="E34" s="338"/>
      <c r="F34" s="339"/>
      <c r="G34" s="340"/>
    </row>
    <row r="35" spans="1:7" ht="21" customHeight="1" x14ac:dyDescent="0.2">
      <c r="A35" s="334"/>
      <c r="B35" s="335"/>
      <c r="C35" s="336"/>
      <c r="D35" s="337"/>
      <c r="E35" s="338"/>
      <c r="F35" s="339"/>
      <c r="G35" s="340"/>
    </row>
    <row r="36" spans="1:7" ht="21" customHeight="1" x14ac:dyDescent="0.2">
      <c r="A36" s="334"/>
      <c r="B36" s="335"/>
      <c r="C36" s="336"/>
      <c r="D36" s="337"/>
      <c r="E36" s="338"/>
      <c r="F36" s="339"/>
      <c r="G36" s="340"/>
    </row>
    <row r="37" spans="1:7" ht="21" customHeight="1" x14ac:dyDescent="0.2">
      <c r="A37" s="334"/>
      <c r="B37" s="335"/>
      <c r="C37" s="336"/>
      <c r="D37" s="337"/>
      <c r="E37" s="338"/>
      <c r="F37" s="339"/>
      <c r="G37" s="340"/>
    </row>
    <row r="38" spans="1:7" ht="21" customHeight="1" x14ac:dyDescent="0.2">
      <c r="A38" s="334"/>
      <c r="B38" s="335"/>
      <c r="C38" s="336"/>
      <c r="D38" s="337"/>
      <c r="E38" s="338"/>
      <c r="F38" s="339"/>
      <c r="G38" s="340"/>
    </row>
    <row r="39" spans="1:7" ht="21" customHeight="1" x14ac:dyDescent="0.2">
      <c r="A39" s="334"/>
      <c r="B39" s="335"/>
      <c r="C39" s="336"/>
      <c r="D39" s="337"/>
      <c r="E39" s="338"/>
      <c r="F39" s="339"/>
      <c r="G39" s="340"/>
    </row>
    <row r="40" spans="1:7" ht="21" customHeight="1" x14ac:dyDescent="0.2">
      <c r="A40" s="334"/>
      <c r="B40" s="335"/>
      <c r="C40" s="336"/>
      <c r="D40" s="337"/>
      <c r="E40" s="338"/>
      <c r="F40" s="339"/>
      <c r="G40" s="340"/>
    </row>
    <row r="41" spans="1:7" ht="21" customHeight="1" x14ac:dyDescent="0.2">
      <c r="A41" s="334"/>
      <c r="B41" s="335"/>
      <c r="C41" s="336"/>
      <c r="D41" s="337"/>
      <c r="E41" s="338"/>
      <c r="F41" s="339"/>
      <c r="G41" s="340"/>
    </row>
    <row r="42" spans="1:7" ht="21" customHeight="1" x14ac:dyDescent="0.2">
      <c r="A42" s="334"/>
      <c r="B42" s="335"/>
      <c r="C42" s="336"/>
      <c r="D42" s="337"/>
      <c r="E42" s="338"/>
      <c r="F42" s="339"/>
      <c r="G42" s="340"/>
    </row>
    <row r="43" spans="1:7" ht="21" customHeight="1" x14ac:dyDescent="0.2">
      <c r="A43" s="334"/>
      <c r="B43" s="335"/>
      <c r="C43" s="336"/>
      <c r="D43" s="337"/>
      <c r="E43" s="338"/>
      <c r="F43" s="339"/>
      <c r="G43" s="340"/>
    </row>
    <row r="44" spans="1:7" ht="21" customHeight="1" x14ac:dyDescent="0.2">
      <c r="A44" s="334"/>
      <c r="B44" s="335"/>
      <c r="C44" s="336"/>
      <c r="D44" s="337"/>
      <c r="E44" s="338"/>
      <c r="F44" s="339"/>
      <c r="G44" s="340"/>
    </row>
    <row r="45" spans="1:7" ht="21" customHeight="1" x14ac:dyDescent="0.2">
      <c r="A45" s="334"/>
      <c r="B45" s="335"/>
      <c r="C45" s="336"/>
      <c r="D45" s="337"/>
      <c r="E45" s="338"/>
      <c r="F45" s="339"/>
      <c r="G45" s="340"/>
    </row>
    <row r="46" spans="1:7" ht="21" customHeight="1" x14ac:dyDescent="0.2">
      <c r="A46" s="334"/>
      <c r="B46" s="335"/>
      <c r="C46" s="336"/>
      <c r="D46" s="337"/>
      <c r="E46" s="338"/>
      <c r="F46" s="339"/>
      <c r="G46" s="340"/>
    </row>
    <row r="47" spans="1:7" ht="21" customHeight="1" x14ac:dyDescent="0.2">
      <c r="A47" s="334"/>
      <c r="B47" s="335"/>
      <c r="C47" s="336"/>
      <c r="D47" s="337"/>
      <c r="E47" s="338"/>
      <c r="F47" s="339"/>
      <c r="G47" s="340"/>
    </row>
    <row r="48" spans="1:7" ht="21" customHeight="1" x14ac:dyDescent="0.2">
      <c r="A48" s="334"/>
      <c r="B48" s="335"/>
      <c r="C48" s="336"/>
      <c r="D48" s="337"/>
      <c r="E48" s="338"/>
      <c r="F48" s="339"/>
      <c r="G48" s="340"/>
    </row>
    <row r="49" spans="1:7" ht="21" customHeight="1" x14ac:dyDescent="0.2">
      <c r="A49" s="334"/>
      <c r="B49" s="335"/>
      <c r="C49" s="336"/>
      <c r="D49" s="337"/>
      <c r="E49" s="338"/>
      <c r="F49" s="339"/>
      <c r="G49" s="340"/>
    </row>
    <row r="50" spans="1:7" ht="21" customHeight="1" x14ac:dyDescent="0.2">
      <c r="A50" s="334"/>
      <c r="B50" s="335"/>
      <c r="C50" s="336"/>
      <c r="D50" s="337"/>
      <c r="E50" s="338"/>
      <c r="F50" s="339"/>
      <c r="G50" s="340"/>
    </row>
    <row r="51" spans="1:7" ht="21" customHeight="1" x14ac:dyDescent="0.2">
      <c r="A51" s="334"/>
      <c r="B51" s="335"/>
      <c r="C51" s="336"/>
      <c r="D51" s="337"/>
      <c r="E51" s="338"/>
      <c r="F51" s="339"/>
      <c r="G51" s="340"/>
    </row>
    <row r="52" spans="1:7" ht="21" customHeight="1" x14ac:dyDescent="0.2">
      <c r="A52" s="334"/>
      <c r="B52" s="335"/>
      <c r="C52" s="336"/>
      <c r="D52" s="337"/>
      <c r="E52" s="338"/>
      <c r="F52" s="339"/>
      <c r="G52" s="340"/>
    </row>
    <row r="53" spans="1:7" ht="21" customHeight="1" x14ac:dyDescent="0.2">
      <c r="A53" s="334"/>
      <c r="B53" s="335"/>
      <c r="C53" s="336"/>
      <c r="D53" s="337"/>
      <c r="E53" s="338"/>
      <c r="F53" s="339"/>
      <c r="G53" s="340"/>
    </row>
    <row r="54" spans="1:7" ht="21" customHeight="1" x14ac:dyDescent="0.2">
      <c r="A54" s="334"/>
      <c r="B54" s="335"/>
      <c r="C54" s="336"/>
      <c r="D54" s="337"/>
      <c r="E54" s="338"/>
      <c r="F54" s="339"/>
      <c r="G54" s="340"/>
    </row>
    <row r="55" spans="1:7" ht="21" customHeight="1" thickBot="1" x14ac:dyDescent="0.25">
      <c r="A55" s="341"/>
      <c r="B55" s="342"/>
      <c r="C55" s="343"/>
      <c r="D55" s="344"/>
      <c r="E55" s="338"/>
      <c r="F55" s="339"/>
      <c r="G55" s="345"/>
    </row>
  </sheetData>
  <sheetProtection password="9784" sheet="1" objects="1" scenarios="1"/>
  <mergeCells count="2">
    <mergeCell ref="A1:G1"/>
    <mergeCell ref="A2:G2"/>
  </mergeCells>
  <dataValidations count="8">
    <dataValidation type="list" allowBlank="1" showInputMessage="1" showErrorMessage="1" sqref="F6:F55" xr:uid="{00000000-0002-0000-0500-000000000000}">
      <formula1>INDIRECT(SUBSTITUTE(C6&amp;E6," ",""))</formula1>
    </dataValidation>
    <dataValidation type="list" allowBlank="1" showInputMessage="1" showErrorMessage="1" sqref="C6:C55" xr:uid="{00000000-0002-0000-0500-000001000000}">
      <formula1>FromROAP</formula1>
    </dataValidation>
    <dataValidation type="list" allowBlank="1" showInputMessage="1" showErrorMessage="1" sqref="D6" xr:uid="{00000000-0002-0000-0500-000002000000}">
      <formula1>INDIRECT($C$6)</formula1>
    </dataValidation>
    <dataValidation type="list" allowBlank="1" showInputMessage="1" showErrorMessage="1" sqref="D7" xr:uid="{00000000-0002-0000-0500-000003000000}">
      <formula1>INDIRECT($C$7)</formula1>
    </dataValidation>
    <dataValidation type="list" allowBlank="1" showInputMessage="1" showErrorMessage="1" sqref="D8" xr:uid="{00000000-0002-0000-0500-000004000000}">
      <formula1>INDIRECT($C$8)</formula1>
    </dataValidation>
    <dataValidation type="list" allowBlank="1" showInputMessage="1" showErrorMessage="1" sqref="D9:D55" xr:uid="{00000000-0002-0000-0500-000005000000}">
      <formula1>INDIRECT($C9)</formula1>
    </dataValidation>
    <dataValidation type="date" allowBlank="1" showInputMessage="1" showErrorMessage="1" sqref="B6:B55" xr:uid="{00000000-0002-0000-0500-000006000000}">
      <formula1>36526</formula1>
      <formula2>109939</formula2>
    </dataValidation>
    <dataValidation type="list" allowBlank="1" showInputMessage="1" showErrorMessage="1" sqref="A6:A55" xr:uid="{00000000-0002-0000-0500-000007000000}">
      <formula1>"Period 1, Period 2"</formula1>
    </dataValidation>
  </dataValidations>
  <pageMargins left="0.7" right="0.7" top="0.75" bottom="0.75" header="0.3" footer="0.3"/>
  <pageSetup scale="5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8000000}">
          <x14:formula1>
            <xm:f>INDEX('Transfer reference'!$H$3:$J$10,,MATCH(C7,FromROAP,0))</xm:f>
          </x14:formula1>
          <xm:sqref>E7</xm:sqref>
        </x14:dataValidation>
        <x14:dataValidation type="list" allowBlank="1" showInputMessage="1" showErrorMessage="1" xr:uid="{00000000-0002-0000-0500-000009000000}">
          <x14:formula1>
            <xm:f>INDEX('Transfer reference'!$H$3:$J$11,,MATCH(C6,FromROAP,0))</xm:f>
          </x14:formula1>
          <xm:sqref>E6 E8:E55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7" tint="0.39997558519241921"/>
    <pageSetUpPr fitToPage="1"/>
  </sheetPr>
  <dimension ref="A1:Z56"/>
  <sheetViews>
    <sheetView showGridLines="0" zoomScaleNormal="100" workbookViewId="0">
      <selection activeCell="N20" sqref="N20:Z20"/>
    </sheetView>
  </sheetViews>
  <sheetFormatPr defaultColWidth="9.140625" defaultRowHeight="12.75" x14ac:dyDescent="0.2"/>
  <cols>
    <col min="1" max="1" width="4.7109375" style="19" customWidth="1"/>
    <col min="2" max="2" width="10.7109375" style="19" customWidth="1"/>
    <col min="3" max="3" width="13.7109375" style="19" customWidth="1"/>
    <col min="4" max="4" width="12.7109375" style="19" customWidth="1"/>
    <col min="5" max="5" width="13" style="19" customWidth="1"/>
    <col min="6" max="6" width="13.7109375" style="19" customWidth="1"/>
    <col min="7" max="7" width="12.7109375" style="19" customWidth="1"/>
    <col min="8" max="8" width="11.140625" style="19" customWidth="1"/>
    <col min="9" max="9" width="11" style="19" customWidth="1"/>
    <col min="10" max="10" width="9.85546875" style="19" customWidth="1"/>
    <col min="11" max="11" width="12.28515625" style="19" customWidth="1"/>
    <col min="12" max="12" width="4.7109375" style="19" customWidth="1"/>
    <col min="13" max="16384" width="9.140625" style="19"/>
  </cols>
  <sheetData>
    <row r="1" spans="1:26" s="14" customFormat="1" ht="15" customHeight="1" x14ac:dyDescent="0.2">
      <c r="A1" s="581" t="s">
        <v>7</v>
      </c>
      <c r="B1" s="582"/>
      <c r="C1" s="582"/>
      <c r="D1" s="582"/>
      <c r="E1" s="582"/>
      <c r="F1" s="582"/>
      <c r="G1" s="582"/>
      <c r="H1" s="582"/>
      <c r="I1" s="582"/>
      <c r="J1" s="582"/>
      <c r="K1" s="582"/>
      <c r="L1" s="583"/>
      <c r="M1" s="67"/>
    </row>
    <row r="2" spans="1:26" s="14" customFormat="1" ht="18" x14ac:dyDescent="0.2">
      <c r="A2" s="584" t="s">
        <v>6</v>
      </c>
      <c r="B2" s="585"/>
      <c r="C2" s="585"/>
      <c r="D2" s="585"/>
      <c r="E2" s="585"/>
      <c r="F2" s="585"/>
      <c r="G2" s="585"/>
      <c r="H2" s="585"/>
      <c r="I2" s="585"/>
      <c r="J2" s="585"/>
      <c r="K2" s="585"/>
      <c r="L2" s="586"/>
      <c r="M2" s="67"/>
    </row>
    <row r="3" spans="1:26" s="14" customFormat="1" ht="18" x14ac:dyDescent="0.2">
      <c r="A3" s="584" t="str">
        <f>Overview!A3</f>
        <v>FY20: July 1, 2019 - June 30, 2020</v>
      </c>
      <c r="B3" s="585"/>
      <c r="C3" s="585"/>
      <c r="D3" s="585"/>
      <c r="E3" s="585"/>
      <c r="F3" s="585"/>
      <c r="G3" s="585"/>
      <c r="H3" s="585"/>
      <c r="I3" s="585"/>
      <c r="J3" s="585"/>
      <c r="K3" s="585"/>
      <c r="L3" s="586"/>
      <c r="M3" s="67"/>
    </row>
    <row r="4" spans="1:26" s="14" customFormat="1" ht="10.5" customHeight="1" x14ac:dyDescent="0.2">
      <c r="A4" s="114"/>
      <c r="B4" s="115"/>
      <c r="C4" s="115"/>
      <c r="D4" s="115"/>
      <c r="E4" s="115"/>
      <c r="F4" s="115"/>
      <c r="G4" s="115"/>
      <c r="H4" s="115"/>
      <c r="I4" s="115"/>
      <c r="J4" s="115"/>
      <c r="K4" s="115"/>
      <c r="L4" s="116"/>
      <c r="M4" s="67"/>
    </row>
    <row r="5" spans="1:26" s="14" customFormat="1" ht="18" x14ac:dyDescent="0.2">
      <c r="A5" s="114"/>
      <c r="B5" s="587">
        <f>Overview!D5</f>
        <v>0</v>
      </c>
      <c r="C5" s="588"/>
      <c r="D5" s="588"/>
      <c r="E5" s="588"/>
      <c r="F5" s="588"/>
      <c r="G5" s="588"/>
      <c r="H5" s="588"/>
      <c r="I5" s="588"/>
      <c r="J5" s="588"/>
      <c r="K5" s="589"/>
      <c r="L5" s="116"/>
      <c r="M5" s="67"/>
    </row>
    <row r="6" spans="1:26" ht="10.5" customHeight="1" x14ac:dyDescent="0.2">
      <c r="A6" s="68"/>
      <c r="B6" s="20"/>
      <c r="C6" s="20"/>
      <c r="D6" s="20"/>
      <c r="E6" s="20"/>
      <c r="F6" s="20"/>
      <c r="G6" s="20"/>
      <c r="H6" s="20"/>
      <c r="I6" s="20"/>
      <c r="J6" s="20"/>
      <c r="K6" s="20"/>
      <c r="L6" s="69"/>
      <c r="M6" s="4"/>
    </row>
    <row r="7" spans="1:26" ht="13.5" customHeight="1" x14ac:dyDescent="0.25">
      <c r="A7" s="226">
        <f>'Transfers log'!G4+1</f>
        <v>81</v>
      </c>
      <c r="B7" s="547" t="s">
        <v>358</v>
      </c>
      <c r="C7" s="547"/>
      <c r="D7" s="547"/>
      <c r="E7" s="547"/>
      <c r="F7" s="547"/>
      <c r="G7" s="547"/>
      <c r="H7" s="547"/>
      <c r="I7" s="547"/>
      <c r="J7" s="547"/>
      <c r="K7" s="547"/>
      <c r="L7" s="310"/>
      <c r="M7" s="4"/>
    </row>
    <row r="8" spans="1:26" ht="40.5" customHeight="1" thickBot="1" x14ac:dyDescent="0.25">
      <c r="A8" s="295"/>
      <c r="B8" s="287"/>
      <c r="C8" s="288" t="s">
        <v>311</v>
      </c>
      <c r="D8" s="289" t="s">
        <v>383</v>
      </c>
      <c r="E8" s="288" t="s">
        <v>385</v>
      </c>
      <c r="F8" s="289" t="s">
        <v>389</v>
      </c>
      <c r="G8" s="290" t="s">
        <v>384</v>
      </c>
      <c r="H8" s="590" t="s">
        <v>322</v>
      </c>
      <c r="I8" s="591"/>
      <c r="J8" s="591"/>
      <c r="K8" s="592"/>
      <c r="L8" s="286"/>
      <c r="M8" s="4"/>
    </row>
    <row r="9" spans="1:26" ht="13.5" customHeight="1" x14ac:dyDescent="0.2">
      <c r="A9" s="298"/>
      <c r="B9" s="282" t="s">
        <v>245</v>
      </c>
      <c r="C9" s="283">
        <f>EDTAP!K33+EDTAP!W33</f>
        <v>0</v>
      </c>
      <c r="D9" s="281">
        <f>SUMIFS('Transfers log'!$G$6:$G$55,'Transfers log'!$C$6:$C$55,Summary!B9)</f>
        <v>0</v>
      </c>
      <c r="E9" s="283">
        <f>SUMIFS('Transfers log'!$G$6:$G$55,'Transfers log'!$E$6:$E$55,Summary!B9)</f>
        <v>0</v>
      </c>
      <c r="F9" s="284"/>
      <c r="G9" s="285">
        <f>C9-D9+E9</f>
        <v>0</v>
      </c>
      <c r="H9" s="566">
        <f>F19</f>
        <v>0</v>
      </c>
      <c r="I9" s="567"/>
      <c r="J9" s="567"/>
      <c r="K9" s="568"/>
      <c r="L9" s="299"/>
    </row>
    <row r="10" spans="1:26" ht="13.5" customHeight="1" x14ac:dyDescent="0.2">
      <c r="A10" s="298"/>
      <c r="B10" s="279" t="s">
        <v>247</v>
      </c>
      <c r="C10" s="202">
        <f>EMPL!K21+EMPL!W21</f>
        <v>0</v>
      </c>
      <c r="D10" s="92">
        <f>SUMIFS('Transfers log'!$G$6:$G$55,'Transfers log'!$C$6:$C$55,Summary!B10)</f>
        <v>0</v>
      </c>
      <c r="E10" s="202">
        <f>SUMIFS('Transfers log'!$G$6:$G$55,'Transfers log'!$E$6:$E$55,Summary!B10)</f>
        <v>0</v>
      </c>
      <c r="F10" s="277"/>
      <c r="G10" s="208">
        <f t="shared" ref="G10:G11" si="0">C10-D10+E10</f>
        <v>0</v>
      </c>
      <c r="H10" s="569">
        <f>F24</f>
        <v>0</v>
      </c>
      <c r="I10" s="570"/>
      <c r="J10" s="570"/>
      <c r="K10" s="571"/>
      <c r="L10" s="299"/>
    </row>
    <row r="11" spans="1:26" ht="13.5" customHeight="1" x14ac:dyDescent="0.2">
      <c r="A11" s="298"/>
      <c r="B11" s="279" t="s">
        <v>246</v>
      </c>
      <c r="C11" s="202">
        <f>RGP!K19+RGP!W19</f>
        <v>0</v>
      </c>
      <c r="D11" s="92">
        <f>SUMIFS('Transfers log'!$G$6:$G$55,'Transfers log'!$C$6:$C$55,Summary!B11)</f>
        <v>0</v>
      </c>
      <c r="E11" s="202">
        <f>SUMIFS('Transfers log'!$G$6:$G$55,'Transfers log'!$E$6:$E$55,Summary!B11)</f>
        <v>0</v>
      </c>
      <c r="F11" s="277"/>
      <c r="G11" s="208">
        <f t="shared" si="0"/>
        <v>0</v>
      </c>
      <c r="H11" s="569">
        <f>F30</f>
        <v>0</v>
      </c>
      <c r="I11" s="570"/>
      <c r="J11" s="570"/>
      <c r="K11" s="571"/>
      <c r="L11" s="299"/>
    </row>
    <row r="12" spans="1:26" ht="13.5" customHeight="1" x14ac:dyDescent="0.2">
      <c r="A12" s="296"/>
      <c r="B12" s="280" t="s">
        <v>310</v>
      </c>
      <c r="C12" s="153">
        <f>SUM(C9:C11)</f>
        <v>0</v>
      </c>
      <c r="D12" s="276">
        <f t="shared" ref="D12:E12" si="1">SUM(D9:D11)</f>
        <v>0</v>
      </c>
      <c r="E12" s="276">
        <f t="shared" si="1"/>
        <v>0</v>
      </c>
      <c r="F12" s="276">
        <f>SUMIFS('Transfers log'!G6:G55,'Transfers log'!E6:E55,"&lt;&gt;"&amp;Summary!B9,'Transfers log'!E6:E55,"&lt;&gt;"&amp;Summary!B10,'Transfers log'!E6:E55,"&lt;&gt;"&amp;Summary!B11)</f>
        <v>0</v>
      </c>
      <c r="G12" s="278">
        <f>SUM(G9:G11)</f>
        <v>0</v>
      </c>
      <c r="H12" s="572">
        <f>SUM(H9:K11)</f>
        <v>0</v>
      </c>
      <c r="I12" s="573"/>
      <c r="J12" s="573"/>
      <c r="K12" s="574"/>
      <c r="L12" s="300"/>
    </row>
    <row r="13" spans="1:26" ht="6.75" customHeight="1" x14ac:dyDescent="0.2">
      <c r="A13" s="61"/>
      <c r="B13" s="62"/>
      <c r="C13" s="62"/>
      <c r="D13" s="63"/>
      <c r="E13" s="64"/>
      <c r="F13" s="64"/>
      <c r="G13" s="64"/>
      <c r="H13" s="64"/>
      <c r="I13" s="64"/>
      <c r="J13" s="65"/>
      <c r="K13" s="65"/>
      <c r="L13" s="66"/>
      <c r="M13" s="4"/>
    </row>
    <row r="14" spans="1:26" ht="9" customHeight="1" x14ac:dyDescent="0.2">
      <c r="A14" s="3"/>
      <c r="B14" s="4"/>
      <c r="C14" s="4"/>
      <c r="D14" s="4"/>
      <c r="E14" s="4"/>
      <c r="F14" s="4"/>
      <c r="G14" s="4"/>
      <c r="H14" s="4"/>
      <c r="I14" s="4"/>
      <c r="J14" s="4"/>
      <c r="K14" s="4"/>
      <c r="L14" s="5"/>
      <c r="M14" s="4"/>
    </row>
    <row r="15" spans="1:26" s="73" customFormat="1" ht="17.25" customHeight="1" x14ac:dyDescent="0.2">
      <c r="A15" s="294">
        <f>A7+1</f>
        <v>82</v>
      </c>
      <c r="B15" s="546" t="s">
        <v>1</v>
      </c>
      <c r="C15" s="546"/>
      <c r="D15" s="546"/>
      <c r="E15" s="546"/>
      <c r="F15" s="546"/>
      <c r="G15" s="546"/>
      <c r="H15" s="546"/>
      <c r="I15" s="546"/>
      <c r="J15" s="546"/>
      <c r="K15" s="546"/>
      <c r="L15" s="309"/>
      <c r="M15" s="71"/>
      <c r="N15" s="72"/>
      <c r="O15" s="49"/>
      <c r="P15" s="49"/>
      <c r="Q15" s="49"/>
      <c r="R15" s="49"/>
      <c r="S15" s="49"/>
      <c r="T15" s="49"/>
      <c r="U15" s="49"/>
      <c r="V15" s="49"/>
      <c r="W15" s="49"/>
      <c r="X15" s="49"/>
      <c r="Y15" s="49"/>
      <c r="Z15" s="49"/>
    </row>
    <row r="16" spans="1:26" ht="14.1" customHeight="1" x14ac:dyDescent="0.2">
      <c r="B16" s="549" t="s">
        <v>257</v>
      </c>
      <c r="C16" s="549"/>
      <c r="D16" s="549"/>
      <c r="E16" s="549"/>
      <c r="F16" s="297">
        <f>EDTAP!K34+EDTAP!W34-EDTAP!P26</f>
        <v>0</v>
      </c>
      <c r="G16" s="548" t="s">
        <v>402</v>
      </c>
      <c r="H16" s="548"/>
      <c r="I16" s="548"/>
      <c r="J16" s="548"/>
      <c r="K16" s="266">
        <f>EDTAP!J27+EDTAP!V27</f>
        <v>0</v>
      </c>
      <c r="L16" s="301"/>
      <c r="M16" s="29"/>
    </row>
    <row r="17" spans="1:26" s="39" customFormat="1" ht="14.1" customHeight="1" x14ac:dyDescent="0.2">
      <c r="B17" s="548" t="s">
        <v>250</v>
      </c>
      <c r="C17" s="548"/>
      <c r="D17" s="548"/>
      <c r="E17" s="548"/>
      <c r="F17" s="291">
        <f>IF((EDTAP!K35+EDTAP!W35-F18-F19)&gt;0,EDTAP!K35+EDTAP!W35-F18,0)</f>
        <v>0</v>
      </c>
      <c r="G17" s="548" t="s">
        <v>254</v>
      </c>
      <c r="H17" s="548"/>
      <c r="I17" s="548"/>
      <c r="J17" s="548"/>
      <c r="K17" s="263">
        <f>EDTAP!F27+EDTAP!R27-K18</f>
        <v>0</v>
      </c>
      <c r="L17" s="302"/>
    </row>
    <row r="18" spans="1:26" s="39" customFormat="1" ht="14.1" customHeight="1" x14ac:dyDescent="0.2">
      <c r="B18" s="548" t="s">
        <v>312</v>
      </c>
      <c r="C18" s="548"/>
      <c r="D18" s="548"/>
      <c r="E18" s="548"/>
      <c r="F18" s="292">
        <f>IF('Additional Trips and Funds'!I7&gt;0,'Additional Trips and Funds'!I7,0)</f>
        <v>0</v>
      </c>
      <c r="G18" s="548" t="s">
        <v>316</v>
      </c>
      <c r="H18" s="548"/>
      <c r="I18" s="548"/>
      <c r="J18" s="548"/>
      <c r="K18" s="263">
        <f>'Additional Trips and Funds'!H7</f>
        <v>0</v>
      </c>
      <c r="L18" s="302"/>
    </row>
    <row r="19" spans="1:26" s="39" customFormat="1" ht="14.1" customHeight="1" x14ac:dyDescent="0.2">
      <c r="B19" s="548" t="s">
        <v>249</v>
      </c>
      <c r="C19" s="548"/>
      <c r="D19" s="548"/>
      <c r="E19" s="548"/>
      <c r="F19" s="293">
        <f>IF(EDTAP!W36&gt;0,EDTAP!W36,0)</f>
        <v>0</v>
      </c>
      <c r="G19" s="550" t="s">
        <v>334</v>
      </c>
      <c r="H19" s="550"/>
      <c r="I19" s="550"/>
      <c r="J19" s="550"/>
      <c r="K19" s="307">
        <f>IF((EDTAP!F27+EDTAP!R27)=0,0,(EDTAP!H27+EDTAP!T27)/(EDTAP!F27+EDTAP!R27))</f>
        <v>0</v>
      </c>
      <c r="L19" s="303"/>
      <c r="M19" s="74"/>
    </row>
    <row r="20" spans="1:26" s="73" customFormat="1" ht="17.25" customHeight="1" x14ac:dyDescent="0.2">
      <c r="A20" s="225">
        <f>A15+1</f>
        <v>83</v>
      </c>
      <c r="B20" s="546" t="s">
        <v>23</v>
      </c>
      <c r="C20" s="546"/>
      <c r="D20" s="546"/>
      <c r="E20" s="546"/>
      <c r="F20" s="546"/>
      <c r="G20" s="546"/>
      <c r="H20" s="546"/>
      <c r="I20" s="546"/>
      <c r="J20" s="546"/>
      <c r="K20" s="546"/>
      <c r="L20" s="309"/>
      <c r="M20" s="71"/>
      <c r="N20" s="593"/>
      <c r="O20" s="593"/>
      <c r="P20" s="593"/>
      <c r="Q20" s="593"/>
      <c r="R20" s="593"/>
      <c r="S20" s="593"/>
      <c r="T20" s="593"/>
      <c r="U20" s="593"/>
      <c r="V20" s="593"/>
      <c r="W20" s="593"/>
      <c r="X20" s="593"/>
      <c r="Y20" s="593"/>
      <c r="Z20" s="593"/>
    </row>
    <row r="21" spans="1:26" ht="14.1" customHeight="1" x14ac:dyDescent="0.2">
      <c r="B21" s="549" t="s">
        <v>258</v>
      </c>
      <c r="C21" s="549"/>
      <c r="D21" s="549"/>
      <c r="E21" s="549"/>
      <c r="F21" s="92">
        <f>EMPL!K22+EMPL!W22-(EMPL!P14)</f>
        <v>0</v>
      </c>
      <c r="G21" s="549" t="s">
        <v>402</v>
      </c>
      <c r="H21" s="549"/>
      <c r="I21" s="549"/>
      <c r="J21" s="549"/>
      <c r="K21" s="92">
        <f>EMPL!J15+EMPL!V15</f>
        <v>0</v>
      </c>
      <c r="L21" s="304"/>
    </row>
    <row r="22" spans="1:26" s="39" customFormat="1" ht="14.1" customHeight="1" x14ac:dyDescent="0.2">
      <c r="B22" s="548" t="s">
        <v>248</v>
      </c>
      <c r="C22" s="548"/>
      <c r="D22" s="548"/>
      <c r="E22" s="548"/>
      <c r="F22" s="94">
        <f>IF((EMPL!K23+EMPL!W23-F23-F24)&gt;0,EMPL!K23+EMPL!W23-F23,0)</f>
        <v>0</v>
      </c>
      <c r="G22" s="548" t="s">
        <v>253</v>
      </c>
      <c r="H22" s="548"/>
      <c r="I22" s="548"/>
      <c r="J22" s="548"/>
      <c r="K22" s="263">
        <f>EMPL!F15+EMPL!R15-K23</f>
        <v>0</v>
      </c>
      <c r="L22" s="302"/>
    </row>
    <row r="23" spans="1:26" s="39" customFormat="1" ht="14.1" customHeight="1" x14ac:dyDescent="0.2">
      <c r="B23" s="548" t="s">
        <v>312</v>
      </c>
      <c r="C23" s="548"/>
      <c r="D23" s="548"/>
      <c r="E23" s="548"/>
      <c r="F23" s="91">
        <f>IF('Additional Trips and Funds'!I8&gt;0,'Additional Trips and Funds'!I8,0)</f>
        <v>0</v>
      </c>
      <c r="G23" s="548" t="s">
        <v>319</v>
      </c>
      <c r="H23" s="548"/>
      <c r="I23" s="548"/>
      <c r="J23" s="548"/>
      <c r="K23" s="263">
        <f>'Additional Trips and Funds'!H8</f>
        <v>0</v>
      </c>
      <c r="L23" s="302"/>
    </row>
    <row r="24" spans="1:26" s="39" customFormat="1" ht="14.1" customHeight="1" x14ac:dyDescent="0.2">
      <c r="B24" s="548" t="s">
        <v>251</v>
      </c>
      <c r="C24" s="548"/>
      <c r="D24" s="548"/>
      <c r="E24" s="548"/>
      <c r="F24" s="91">
        <f>IF(EMPL!W24&gt;0,EMPL!W24,0)</f>
        <v>0</v>
      </c>
      <c r="G24" s="550" t="s">
        <v>335</v>
      </c>
      <c r="H24" s="550"/>
      <c r="I24" s="550"/>
      <c r="J24" s="550"/>
      <c r="K24" s="307">
        <f>IF((EMPL!F15+EMPL!R15)=0,0,(EMPL!H15+EMPL!T15)/(EMPL!F15+EMPL!R15))</f>
        <v>0</v>
      </c>
      <c r="L24" s="303"/>
    </row>
    <row r="25" spans="1:26" s="73" customFormat="1" ht="17.25" customHeight="1" x14ac:dyDescent="0.2">
      <c r="A25" s="225">
        <f>A20+1</f>
        <v>84</v>
      </c>
      <c r="B25" s="546" t="s">
        <v>2</v>
      </c>
      <c r="C25" s="546"/>
      <c r="D25" s="546"/>
      <c r="E25" s="546"/>
      <c r="F25" s="546"/>
      <c r="G25" s="546"/>
      <c r="H25" s="546"/>
      <c r="I25" s="546"/>
      <c r="J25" s="546"/>
      <c r="K25" s="546"/>
      <c r="L25" s="309"/>
    </row>
    <row r="26" spans="1:26" ht="14.1" customHeight="1" x14ac:dyDescent="0.2">
      <c r="B26" s="549" t="s">
        <v>321</v>
      </c>
      <c r="C26" s="549"/>
      <c r="D26" s="549"/>
      <c r="E26" s="549"/>
      <c r="F26" s="92">
        <f>(RGP!K20+RGP!W20)-(RGP!P12)-(RGP!K13+RGP!W13)</f>
        <v>0</v>
      </c>
      <c r="G26" s="549" t="s">
        <v>402</v>
      </c>
      <c r="H26" s="549"/>
      <c r="I26" s="549"/>
      <c r="J26" s="549"/>
      <c r="K26" s="92">
        <f>RGP!I11+RGP!U11</f>
        <v>0</v>
      </c>
      <c r="L26" s="304"/>
    </row>
    <row r="27" spans="1:26" ht="14.1" customHeight="1" x14ac:dyDescent="0.2">
      <c r="B27" s="549" t="s">
        <v>331</v>
      </c>
      <c r="C27" s="549"/>
      <c r="D27" s="549"/>
      <c r="E27" s="549"/>
      <c r="F27" s="92">
        <f>RGP!J13+RGP!V13</f>
        <v>0</v>
      </c>
      <c r="G27" s="549"/>
      <c r="H27" s="549"/>
      <c r="I27" s="549"/>
      <c r="J27" s="549"/>
      <c r="K27" s="308"/>
      <c r="L27" s="305"/>
    </row>
    <row r="28" spans="1:26" ht="14.1" customHeight="1" x14ac:dyDescent="0.2">
      <c r="B28" s="548" t="s">
        <v>259</v>
      </c>
      <c r="C28" s="548"/>
      <c r="D28" s="548"/>
      <c r="E28" s="548"/>
      <c r="F28" s="92">
        <f>RGP!K13+RGP!W13</f>
        <v>0</v>
      </c>
      <c r="G28" s="549" t="s">
        <v>256</v>
      </c>
      <c r="H28" s="549"/>
      <c r="I28" s="549"/>
      <c r="J28" s="549"/>
      <c r="K28" s="238">
        <f>RGP!F11+RGP!R11-K29</f>
        <v>0</v>
      </c>
      <c r="L28" s="306"/>
    </row>
    <row r="29" spans="1:26" s="39" customFormat="1" ht="14.1" customHeight="1" x14ac:dyDescent="0.2">
      <c r="B29" s="548" t="s">
        <v>312</v>
      </c>
      <c r="C29" s="548"/>
      <c r="D29" s="548"/>
      <c r="E29" s="548"/>
      <c r="F29" s="94">
        <f>IF(RGP!W22&lt;0,RGP!W22*-1,0)</f>
        <v>0</v>
      </c>
      <c r="G29" s="548" t="s">
        <v>320</v>
      </c>
      <c r="H29" s="548"/>
      <c r="I29" s="548"/>
      <c r="J29" s="548"/>
      <c r="K29" s="263">
        <f>'Additional Trips and Funds'!H9</f>
        <v>0</v>
      </c>
      <c r="L29" s="302"/>
    </row>
    <row r="30" spans="1:26" s="39" customFormat="1" ht="14.1" customHeight="1" x14ac:dyDescent="0.2">
      <c r="B30" s="548" t="s">
        <v>252</v>
      </c>
      <c r="C30" s="548"/>
      <c r="D30" s="548"/>
      <c r="E30" s="548"/>
      <c r="F30" s="91">
        <f>IF(RGP!W22&gt;0,RGP!W22,0)</f>
        <v>0</v>
      </c>
      <c r="G30" s="550" t="s">
        <v>336</v>
      </c>
      <c r="H30" s="550"/>
      <c r="I30" s="550"/>
      <c r="J30" s="550"/>
      <c r="K30" s="307">
        <v>1</v>
      </c>
      <c r="L30" s="303"/>
    </row>
    <row r="31" spans="1:26" s="75" customFormat="1" ht="11.25" customHeight="1" x14ac:dyDescent="0.15">
      <c r="A31" s="578"/>
      <c r="B31" s="579"/>
      <c r="C31" s="579"/>
      <c r="D31" s="579"/>
      <c r="E31" s="579"/>
      <c r="F31" s="579"/>
      <c r="G31" s="579"/>
      <c r="H31" s="579"/>
      <c r="I31" s="579"/>
      <c r="J31" s="579"/>
      <c r="K31" s="579"/>
      <c r="L31" s="580"/>
    </row>
    <row r="32" spans="1:26" s="70" customFormat="1" x14ac:dyDescent="0.2">
      <c r="A32" s="575"/>
      <c r="B32" s="576"/>
      <c r="C32" s="576"/>
      <c r="D32" s="576"/>
      <c r="E32" s="576"/>
      <c r="F32" s="576"/>
      <c r="G32" s="576"/>
      <c r="H32" s="576"/>
      <c r="I32" s="576"/>
      <c r="J32" s="576"/>
      <c r="K32" s="576"/>
      <c r="L32" s="577"/>
    </row>
    <row r="33" spans="1:20" s="76" customFormat="1" ht="15" x14ac:dyDescent="0.25">
      <c r="A33" s="557" t="s">
        <v>396</v>
      </c>
      <c r="B33" s="558"/>
      <c r="C33" s="558"/>
      <c r="D33" s="558"/>
      <c r="E33" s="558"/>
      <c r="F33" s="558"/>
      <c r="G33" s="558"/>
      <c r="H33" s="558"/>
      <c r="I33" s="558"/>
      <c r="J33" s="558"/>
      <c r="K33" s="558"/>
      <c r="L33" s="559"/>
    </row>
    <row r="34" spans="1:20" s="76" customFormat="1" ht="15" x14ac:dyDescent="0.25">
      <c r="A34" s="557" t="s">
        <v>391</v>
      </c>
      <c r="B34" s="560"/>
      <c r="C34" s="560"/>
      <c r="D34" s="560"/>
      <c r="E34" s="560"/>
      <c r="F34" s="560"/>
      <c r="G34" s="560"/>
      <c r="H34" s="560"/>
      <c r="I34" s="560"/>
      <c r="J34" s="560"/>
      <c r="K34" s="560"/>
      <c r="L34" s="561"/>
    </row>
    <row r="35" spans="1:20" s="70" customFormat="1" ht="15" x14ac:dyDescent="0.25">
      <c r="A35" s="557" t="str">
        <f>"I understand that any unexpended funds from the total " &amp; LEFT(A3,4) &amp; " ROAP allocation will be invoiced by NCDOT."</f>
        <v>I understand that any unexpended funds from the total FY20 ROAP allocation will be invoiced by NCDOT.</v>
      </c>
      <c r="B35" s="558"/>
      <c r="C35" s="558"/>
      <c r="D35" s="558"/>
      <c r="E35" s="558"/>
      <c r="F35" s="558"/>
      <c r="G35" s="558"/>
      <c r="H35" s="558"/>
      <c r="I35" s="558"/>
      <c r="J35" s="558"/>
      <c r="K35" s="558"/>
      <c r="L35" s="559"/>
    </row>
    <row r="36" spans="1:20" s="70" customFormat="1" ht="15" x14ac:dyDescent="0.25">
      <c r="A36" s="557" t="s">
        <v>392</v>
      </c>
      <c r="B36" s="558"/>
      <c r="C36" s="558"/>
      <c r="D36" s="558"/>
      <c r="E36" s="558"/>
      <c r="F36" s="558"/>
      <c r="G36" s="558"/>
      <c r="H36" s="558"/>
      <c r="I36" s="558"/>
      <c r="J36" s="558"/>
      <c r="K36" s="558"/>
      <c r="L36" s="559"/>
    </row>
    <row r="37" spans="1:20" s="70" customFormat="1" ht="12" customHeight="1" x14ac:dyDescent="0.2">
      <c r="A37" s="554"/>
      <c r="B37" s="555"/>
      <c r="C37" s="555"/>
      <c r="D37" s="555"/>
      <c r="E37" s="555"/>
      <c r="F37" s="555"/>
      <c r="G37" s="555"/>
      <c r="H37" s="555"/>
      <c r="I37" s="555"/>
      <c r="J37" s="555"/>
      <c r="K37" s="555"/>
      <c r="L37" s="556"/>
    </row>
    <row r="38" spans="1:20" s="70" customFormat="1" ht="21" customHeight="1" thickBot="1" x14ac:dyDescent="0.25">
      <c r="A38" s="203">
        <f>A25+1</f>
        <v>85</v>
      </c>
      <c r="B38" s="562"/>
      <c r="C38" s="562"/>
      <c r="D38" s="562"/>
      <c r="E38" s="562"/>
      <c r="F38" s="562"/>
      <c r="G38" s="77"/>
      <c r="H38" s="562"/>
      <c r="I38" s="562"/>
      <c r="J38" s="562"/>
      <c r="K38" s="562"/>
      <c r="L38" s="9"/>
    </row>
    <row r="39" spans="1:20" s="70" customFormat="1" ht="10.5" customHeight="1" x14ac:dyDescent="0.2">
      <c r="A39" s="78"/>
      <c r="B39" s="563" t="s">
        <v>35</v>
      </c>
      <c r="C39" s="563"/>
      <c r="D39" s="563"/>
      <c r="E39" s="563"/>
      <c r="F39" s="563"/>
      <c r="G39" s="77"/>
      <c r="H39" s="563" t="s">
        <v>5</v>
      </c>
      <c r="I39" s="563"/>
      <c r="J39" s="563"/>
      <c r="K39" s="563"/>
      <c r="L39" s="9"/>
    </row>
    <row r="40" spans="1:20" s="70" customFormat="1" ht="9" customHeight="1" x14ac:dyDescent="0.2">
      <c r="A40" s="575"/>
      <c r="B40" s="576"/>
      <c r="C40" s="576"/>
      <c r="D40" s="576"/>
      <c r="E40" s="576"/>
      <c r="F40" s="576"/>
      <c r="G40" s="576"/>
      <c r="H40" s="576"/>
      <c r="I40" s="576"/>
      <c r="J40" s="576"/>
      <c r="K40" s="576"/>
      <c r="L40" s="577"/>
    </row>
    <row r="41" spans="1:20" s="70" customFormat="1" ht="10.5" customHeight="1" x14ac:dyDescent="0.2">
      <c r="A41" s="79"/>
      <c r="B41" s="80"/>
      <c r="C41" s="80"/>
      <c r="D41" s="80"/>
      <c r="E41" s="80"/>
      <c r="F41" s="80"/>
      <c r="G41" s="80"/>
      <c r="H41" s="80"/>
      <c r="I41" s="80"/>
      <c r="J41" s="80"/>
      <c r="K41" s="80"/>
      <c r="L41" s="81"/>
    </row>
    <row r="42" spans="1:20" s="70" customFormat="1" ht="36" customHeight="1" x14ac:dyDescent="0.2">
      <c r="A42" s="602">
        <f>A38+1</f>
        <v>86</v>
      </c>
      <c r="B42" s="314"/>
      <c r="C42" s="564" t="s">
        <v>394</v>
      </c>
      <c r="D42" s="564"/>
      <c r="E42" s="564"/>
      <c r="F42" s="564"/>
      <c r="G42" s="564"/>
      <c r="H42" s="315"/>
      <c r="I42" s="598">
        <f>H12</f>
        <v>0</v>
      </c>
      <c r="J42" s="599"/>
      <c r="K42" s="8"/>
      <c r="L42" s="9"/>
      <c r="T42" s="46"/>
    </row>
    <row r="43" spans="1:20" s="84" customFormat="1" ht="12" customHeight="1" x14ac:dyDescent="0.2">
      <c r="A43" s="603"/>
      <c r="C43" s="565" t="str">
        <f>" an invoice will be sent for the unspent funds from the " &amp; LEFT(A3,4) &amp; " ROAP allocation."</f>
        <v xml:space="preserve"> an invoice will be sent for the unspent funds from the FY20 ROAP allocation.</v>
      </c>
      <c r="D43" s="565"/>
      <c r="E43" s="565"/>
      <c r="F43" s="565"/>
      <c r="G43" s="565"/>
      <c r="H43" s="316"/>
      <c r="I43" s="600"/>
      <c r="J43" s="601"/>
      <c r="K43" s="82"/>
      <c r="L43" s="83"/>
    </row>
    <row r="44" spans="1:20" s="70" customFormat="1" ht="10.5" customHeight="1" x14ac:dyDescent="0.2">
      <c r="A44" s="7"/>
      <c r="B44" s="8"/>
      <c r="C44" s="8"/>
      <c r="D44" s="8"/>
      <c r="E44" s="8"/>
      <c r="F44" s="201"/>
      <c r="G44" s="201"/>
      <c r="H44" s="8"/>
      <c r="I44" s="8"/>
      <c r="J44" s="8"/>
      <c r="K44" s="8"/>
      <c r="L44" s="9"/>
    </row>
    <row r="45" spans="1:20" s="70" customFormat="1" ht="10.5" customHeight="1" x14ac:dyDescent="0.2">
      <c r="A45" s="85"/>
      <c r="B45" s="86"/>
      <c r="C45" s="86"/>
      <c r="D45" s="86"/>
      <c r="E45" s="86"/>
      <c r="F45" s="86"/>
      <c r="G45" s="86"/>
      <c r="H45" s="86"/>
      <c r="I45" s="86"/>
      <c r="J45" s="86"/>
      <c r="K45" s="86"/>
      <c r="L45" s="87"/>
    </row>
    <row r="46" spans="1:20" s="70" customFormat="1" ht="12.75" customHeight="1" x14ac:dyDescent="0.2">
      <c r="A46" s="223" t="str">
        <f>CONCATENATE(A42+1,"a")</f>
        <v>87a</v>
      </c>
      <c r="B46" s="604" t="s">
        <v>30</v>
      </c>
      <c r="C46" s="604"/>
      <c r="D46" s="604"/>
      <c r="E46" s="604"/>
      <c r="F46" s="604"/>
      <c r="G46" s="604"/>
      <c r="H46" s="604"/>
      <c r="I46" s="604"/>
      <c r="J46" s="604"/>
      <c r="K46" s="604"/>
      <c r="L46" s="605"/>
    </row>
    <row r="47" spans="1:20" s="70" customFormat="1" ht="39.75" customHeight="1" x14ac:dyDescent="0.2">
      <c r="A47" s="551"/>
      <c r="B47" s="552"/>
      <c r="C47" s="552"/>
      <c r="D47" s="552"/>
      <c r="E47" s="552"/>
      <c r="F47" s="552"/>
      <c r="G47" s="552"/>
      <c r="H47" s="552"/>
      <c r="I47" s="552"/>
      <c r="J47" s="552"/>
      <c r="K47" s="552"/>
      <c r="L47" s="553"/>
    </row>
    <row r="48" spans="1:20" s="70" customFormat="1" ht="12.75" customHeight="1" x14ac:dyDescent="0.2">
      <c r="A48" s="224" t="str">
        <f>CONCATENATE(A42+1,"b")</f>
        <v>87b</v>
      </c>
      <c r="B48" s="604" t="s">
        <v>31</v>
      </c>
      <c r="C48" s="604"/>
      <c r="D48" s="604"/>
      <c r="E48" s="604"/>
      <c r="F48" s="604"/>
      <c r="G48" s="604"/>
      <c r="H48" s="604"/>
      <c r="I48" s="604"/>
      <c r="J48" s="604"/>
      <c r="K48" s="604"/>
      <c r="L48" s="605"/>
    </row>
    <row r="49" spans="1:12" s="70" customFormat="1" ht="39.75" customHeight="1" x14ac:dyDescent="0.2">
      <c r="A49" s="551"/>
      <c r="B49" s="552"/>
      <c r="C49" s="552"/>
      <c r="D49" s="552"/>
      <c r="E49" s="552"/>
      <c r="F49" s="552"/>
      <c r="G49" s="552"/>
      <c r="H49" s="552"/>
      <c r="I49" s="552"/>
      <c r="J49" s="552"/>
      <c r="K49" s="552"/>
      <c r="L49" s="553"/>
    </row>
    <row r="50" spans="1:12" s="70" customFormat="1" ht="12.75" customHeight="1" x14ac:dyDescent="0.2">
      <c r="A50" s="224" t="str">
        <f>CONCATENATE(A42+1,"c")</f>
        <v>87c</v>
      </c>
      <c r="B50" s="604" t="s">
        <v>32</v>
      </c>
      <c r="C50" s="604"/>
      <c r="D50" s="604"/>
      <c r="E50" s="604"/>
      <c r="F50" s="604"/>
      <c r="G50" s="604"/>
      <c r="H50" s="604"/>
      <c r="I50" s="604"/>
      <c r="J50" s="604"/>
      <c r="K50" s="604"/>
      <c r="L50" s="605"/>
    </row>
    <row r="51" spans="1:12" s="70" customFormat="1" ht="39.75" customHeight="1" x14ac:dyDescent="0.2">
      <c r="A51" s="551"/>
      <c r="B51" s="552"/>
      <c r="C51" s="552"/>
      <c r="D51" s="552"/>
      <c r="E51" s="552"/>
      <c r="F51" s="552"/>
      <c r="G51" s="552"/>
      <c r="H51" s="552"/>
      <c r="I51" s="552"/>
      <c r="J51" s="552"/>
      <c r="K51" s="552"/>
      <c r="L51" s="553"/>
    </row>
    <row r="52" spans="1:12" s="46" customFormat="1" ht="9.75" customHeight="1" x14ac:dyDescent="0.2">
      <c r="A52" s="88"/>
      <c r="B52" s="595"/>
      <c r="C52" s="595"/>
      <c r="D52" s="93"/>
      <c r="E52" s="89"/>
      <c r="F52" s="89"/>
      <c r="G52" s="89"/>
      <c r="H52" s="595"/>
      <c r="I52" s="595"/>
      <c r="J52" s="595"/>
      <c r="K52" s="596"/>
      <c r="L52" s="597"/>
    </row>
    <row r="53" spans="1:12" s="70" customFormat="1" ht="19.5" customHeight="1" x14ac:dyDescent="0.2">
      <c r="A53" s="594"/>
      <c r="B53" s="594"/>
      <c r="C53" s="594"/>
      <c r="D53" s="594"/>
      <c r="E53" s="594"/>
      <c r="F53" s="594"/>
      <c r="G53" s="594"/>
      <c r="H53" s="594"/>
      <c r="I53" s="594"/>
      <c r="J53" s="594"/>
      <c r="K53" s="594"/>
      <c r="L53" s="594"/>
    </row>
    <row r="56" spans="1:12" ht="12.75" customHeight="1" x14ac:dyDescent="0.2">
      <c r="B56" s="90"/>
      <c r="C56" s="90"/>
      <c r="D56" s="90"/>
      <c r="E56" s="90"/>
      <c r="F56" s="90"/>
      <c r="G56" s="90"/>
      <c r="H56" s="90"/>
      <c r="I56" s="90"/>
      <c r="J56" s="90"/>
      <c r="K56" s="90"/>
    </row>
  </sheetData>
  <sheetProtection algorithmName="SHA-512" hashValue="LtlPHGmF/TVTyaVR9HzVt6VSBidhzJGBGJ4REy8b0359eyAEB/xNccI5Y/BNFnRooqjdLnt/w8rCcbDZPubc8w==" saltValue="sd/YfqHPBYOWZEOHotUX5g==" spinCount="100000" sheet="1" objects="1" scenarios="1"/>
  <customSheetViews>
    <customSheetView guid="{A35AF9FC-B28C-44AB-BD86-2EBB43718021}" showRuler="0">
      <selection activeCell="P77" sqref="P77"/>
      <rowBreaks count="1" manualBreakCount="1">
        <brk id="57" max="12" man="1"/>
      </rowBreaks>
      <pageMargins left="0.5" right="0.5" top="0.75" bottom="0.75" header="0.5" footer="0.5"/>
      <printOptions gridLines="1"/>
      <pageSetup orientation="portrait" r:id="rId1"/>
      <headerFooter alignWithMargins="0"/>
    </customSheetView>
    <customSheetView guid="{7A6E90D5-5AB3-47A8-A132-80E87DFA214A}" showPageBreaks="1" printArea="1" showRuler="0">
      <selection activeCell="O20" sqref="O20"/>
      <rowBreaks count="1" manualBreakCount="1">
        <brk id="57" max="12" man="1"/>
      </rowBreaks>
      <pageMargins left="0.5" right="0.5" top="0.75" bottom="0.75" header="0.5" footer="0.5"/>
      <printOptions gridLines="1"/>
      <pageSetup orientation="portrait" r:id="rId2"/>
      <headerFooter alignWithMargins="0"/>
    </customSheetView>
  </customSheetViews>
  <mergeCells count="66">
    <mergeCell ref="N20:Z20"/>
    <mergeCell ref="A53:L53"/>
    <mergeCell ref="B52:C52"/>
    <mergeCell ref="H52:J52"/>
    <mergeCell ref="K52:L52"/>
    <mergeCell ref="A40:L40"/>
    <mergeCell ref="A49:L49"/>
    <mergeCell ref="A51:L51"/>
    <mergeCell ref="I42:J43"/>
    <mergeCell ref="A42:A43"/>
    <mergeCell ref="A35:L35"/>
    <mergeCell ref="A36:L36"/>
    <mergeCell ref="B50:L50"/>
    <mergeCell ref="B46:L46"/>
    <mergeCell ref="B48:L48"/>
    <mergeCell ref="A1:L1"/>
    <mergeCell ref="A2:L2"/>
    <mergeCell ref="A3:L3"/>
    <mergeCell ref="B5:K5"/>
    <mergeCell ref="H8:K8"/>
    <mergeCell ref="H9:K9"/>
    <mergeCell ref="H10:K10"/>
    <mergeCell ref="H11:K11"/>
    <mergeCell ref="H12:K12"/>
    <mergeCell ref="A32:L32"/>
    <mergeCell ref="G21:J21"/>
    <mergeCell ref="G22:J22"/>
    <mergeCell ref="G23:J23"/>
    <mergeCell ref="A31:L31"/>
    <mergeCell ref="G27:J27"/>
    <mergeCell ref="G28:J28"/>
    <mergeCell ref="G29:J29"/>
    <mergeCell ref="B16:E16"/>
    <mergeCell ref="B17:E17"/>
    <mergeCell ref="B18:E18"/>
    <mergeCell ref="B19:E19"/>
    <mergeCell ref="G19:J19"/>
    <mergeCell ref="G30:J30"/>
    <mergeCell ref="B25:K25"/>
    <mergeCell ref="B20:K20"/>
    <mergeCell ref="A47:L47"/>
    <mergeCell ref="A37:L37"/>
    <mergeCell ref="A33:L33"/>
    <mergeCell ref="A34:L34"/>
    <mergeCell ref="H38:K38"/>
    <mergeCell ref="H39:K39"/>
    <mergeCell ref="C42:G42"/>
    <mergeCell ref="C43:G43"/>
    <mergeCell ref="B39:F39"/>
    <mergeCell ref="B38:F38"/>
    <mergeCell ref="B15:K15"/>
    <mergeCell ref="B7:K7"/>
    <mergeCell ref="B30:E30"/>
    <mergeCell ref="B21:E21"/>
    <mergeCell ref="B22:E22"/>
    <mergeCell ref="B23:E23"/>
    <mergeCell ref="B24:E24"/>
    <mergeCell ref="G24:J24"/>
    <mergeCell ref="B26:E26"/>
    <mergeCell ref="B27:E27"/>
    <mergeCell ref="B28:E28"/>
    <mergeCell ref="B29:E29"/>
    <mergeCell ref="G26:J26"/>
    <mergeCell ref="G16:J16"/>
    <mergeCell ref="G17:J17"/>
    <mergeCell ref="G18:J18"/>
  </mergeCells>
  <phoneticPr fontId="0" type="noConversion"/>
  <conditionalFormatting sqref="H12:K12">
    <cfRule type="cellIs" dxfId="0" priority="1" operator="greaterThan">
      <formula>0</formula>
    </cfRule>
  </conditionalFormatting>
  <pageMargins left="0.5" right="0.5" top="0.6" bottom="0.6" header="0.5" footer="0.5"/>
  <pageSetup scale="74"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U68"/>
  <sheetViews>
    <sheetView topLeftCell="D1" workbookViewId="0">
      <selection activeCell="N4" sqref="N4"/>
    </sheetView>
  </sheetViews>
  <sheetFormatPr defaultRowHeight="12.75" x14ac:dyDescent="0.2"/>
  <cols>
    <col min="1" max="1" width="26" customWidth="1"/>
    <col min="2" max="2" width="27.85546875" customWidth="1"/>
    <col min="4" max="4" width="14.7109375" customWidth="1"/>
    <col min="5" max="5" width="12.28515625" customWidth="1"/>
    <col min="6" max="6" width="17.28515625" customWidth="1"/>
    <col min="8" max="10" width="19.140625" bestFit="1" customWidth="1"/>
    <col min="12" max="16" width="18" customWidth="1"/>
    <col min="17" max="17" width="18.5703125" customWidth="1"/>
  </cols>
  <sheetData>
    <row r="1" spans="1:21" x14ac:dyDescent="0.2">
      <c r="A1" s="2" t="s">
        <v>304</v>
      </c>
      <c r="B1" s="2" t="s">
        <v>305</v>
      </c>
      <c r="D1" s="606" t="s">
        <v>264</v>
      </c>
      <c r="E1" s="606"/>
      <c r="F1" s="606"/>
      <c r="H1" s="607" t="s">
        <v>265</v>
      </c>
      <c r="I1" s="607"/>
      <c r="J1" s="607"/>
      <c r="K1" s="118"/>
      <c r="L1" s="608" t="s">
        <v>266</v>
      </c>
      <c r="M1" s="608"/>
      <c r="N1" s="608"/>
      <c r="O1" s="608"/>
      <c r="P1" s="608"/>
      <c r="Q1" s="182"/>
      <c r="R1" s="193"/>
    </row>
    <row r="2" spans="1:21" x14ac:dyDescent="0.2">
      <c r="A2">
        <f>Overview!B20</f>
        <v>0</v>
      </c>
      <c r="B2" t="str">
        <f>IF(Overview!B36&lt;&gt;"",CONCATENATE(Overview!B36," (member in regional system)")," ")</f>
        <v xml:space="preserve"> </v>
      </c>
      <c r="D2" s="2" t="s">
        <v>246</v>
      </c>
      <c r="E2" s="2" t="s">
        <v>245</v>
      </c>
      <c r="F2" s="2" t="s">
        <v>247</v>
      </c>
      <c r="H2" s="144" t="s">
        <v>246</v>
      </c>
      <c r="I2" s="144" t="s">
        <v>245</v>
      </c>
      <c r="J2" s="144" t="s">
        <v>247</v>
      </c>
      <c r="K2" s="2"/>
      <c r="L2" s="123" t="s">
        <v>269</v>
      </c>
      <c r="M2" s="186" t="s">
        <v>400</v>
      </c>
      <c r="N2" s="186" t="s">
        <v>401</v>
      </c>
      <c r="O2" s="124" t="s">
        <v>270</v>
      </c>
      <c r="P2" s="124" t="s">
        <v>271</v>
      </c>
      <c r="Q2" s="194" t="s">
        <v>274</v>
      </c>
      <c r="R2" s="186" t="s">
        <v>339</v>
      </c>
      <c r="S2" s="186" t="s">
        <v>340</v>
      </c>
      <c r="T2" s="192" t="s">
        <v>346</v>
      </c>
      <c r="U2" s="350" t="s">
        <v>399</v>
      </c>
    </row>
    <row r="3" spans="1:21" x14ac:dyDescent="0.2">
      <c r="A3" t="str">
        <f>IF(Overview!B21&lt;&gt;"",Overview!B21," ")</f>
        <v xml:space="preserve"> </v>
      </c>
      <c r="B3" t="str">
        <f>IF(Overview!B37&lt;&gt;"",CONCATENATE(Overview!B37," (member in regional system)")," ")</f>
        <v xml:space="preserve"> </v>
      </c>
      <c r="D3" s="141">
        <f>A2</f>
        <v>0</v>
      </c>
      <c r="E3" s="142">
        <f>A2</f>
        <v>0</v>
      </c>
      <c r="F3" s="143">
        <f>A2</f>
        <v>0</v>
      </c>
      <c r="H3" s="136" t="s">
        <v>246</v>
      </c>
      <c r="I3" s="137" t="s">
        <v>245</v>
      </c>
      <c r="J3" s="125" t="s">
        <v>246</v>
      </c>
      <c r="K3" s="2"/>
      <c r="L3" s="126">
        <f>A2</f>
        <v>0</v>
      </c>
      <c r="M3" s="121">
        <f>A2</f>
        <v>0</v>
      </c>
      <c r="N3" s="121">
        <f>A2</f>
        <v>0</v>
      </c>
      <c r="O3" s="121">
        <f>A2</f>
        <v>0</v>
      </c>
      <c r="P3" s="121">
        <f>A2</f>
        <v>0</v>
      </c>
      <c r="Q3" s="195">
        <f>A2</f>
        <v>0</v>
      </c>
      <c r="R3" s="121">
        <f>A2</f>
        <v>0</v>
      </c>
      <c r="S3" s="1">
        <f>A2</f>
        <v>0</v>
      </c>
      <c r="T3" s="190">
        <f>A2</f>
        <v>0</v>
      </c>
      <c r="U3">
        <f>A2</f>
        <v>0</v>
      </c>
    </row>
    <row r="4" spans="1:21" x14ac:dyDescent="0.2">
      <c r="A4" t="str">
        <f>IF(Overview!B22&lt;&gt;"",Overview!B22," ")</f>
        <v xml:space="preserve"> </v>
      </c>
      <c r="B4" t="str">
        <f>IF(Overview!B38&lt;&gt;"",CONCATENATE(Overview!B38," (member in regional system)")," ")</f>
        <v xml:space="preserve"> </v>
      </c>
      <c r="D4" s="129" t="str">
        <f>B2</f>
        <v xml:space="preserve"> </v>
      </c>
      <c r="E4" s="1" t="str">
        <f t="shared" ref="E4:E17" si="0">A3</f>
        <v xml:space="preserve"> </v>
      </c>
      <c r="F4" s="130" t="str">
        <f t="shared" ref="F4:F17" si="1">A3</f>
        <v xml:space="preserve"> </v>
      </c>
      <c r="H4" s="184" t="s">
        <v>245</v>
      </c>
      <c r="I4" s="139" t="s">
        <v>267</v>
      </c>
      <c r="J4" s="127" t="s">
        <v>245</v>
      </c>
      <c r="K4" s="2"/>
      <c r="L4" s="126" t="str">
        <f>B2</f>
        <v xml:space="preserve"> </v>
      </c>
      <c r="M4" s="126"/>
      <c r="N4" s="126"/>
      <c r="O4" s="129" t="str">
        <f t="shared" ref="O4:U4" si="2">$A$3</f>
        <v xml:space="preserve"> </v>
      </c>
      <c r="P4" s="129" t="str">
        <f t="shared" si="2"/>
        <v xml:space="preserve"> </v>
      </c>
      <c r="Q4" s="196" t="str">
        <f t="shared" si="2"/>
        <v xml:space="preserve"> </v>
      </c>
      <c r="R4" s="129" t="str">
        <f t="shared" si="2"/>
        <v xml:space="preserve"> </v>
      </c>
      <c r="S4" s="129" t="str">
        <f t="shared" si="2"/>
        <v xml:space="preserve"> </v>
      </c>
      <c r="T4" s="190" t="str">
        <f t="shared" si="2"/>
        <v xml:space="preserve"> </v>
      </c>
      <c r="U4" s="190" t="str">
        <f t="shared" si="2"/>
        <v xml:space="preserve"> </v>
      </c>
    </row>
    <row r="5" spans="1:21" x14ac:dyDescent="0.2">
      <c r="A5" t="str">
        <f>IF(Overview!B23&lt;&gt;"",Overview!B23," ")</f>
        <v xml:space="preserve"> </v>
      </c>
      <c r="B5" t="str">
        <f>IF(Overview!B39&lt;&gt;"",CONCATENATE(Overview!B39," (member in regional system)")," ")</f>
        <v xml:space="preserve"> </v>
      </c>
      <c r="D5" s="129" t="str">
        <f t="shared" ref="D5:D8" si="3">B3</f>
        <v xml:space="preserve"> </v>
      </c>
      <c r="E5" s="1" t="str">
        <f t="shared" si="0"/>
        <v xml:space="preserve"> </v>
      </c>
      <c r="F5" s="130" t="str">
        <f t="shared" si="1"/>
        <v xml:space="preserve"> </v>
      </c>
      <c r="H5" s="184" t="s">
        <v>247</v>
      </c>
      <c r="I5" s="139" t="s">
        <v>268</v>
      </c>
      <c r="J5" s="140" t="s">
        <v>247</v>
      </c>
      <c r="K5" s="120"/>
      <c r="L5" s="126" t="str">
        <f t="shared" ref="L5:L8" si="4">B3</f>
        <v xml:space="preserve"> </v>
      </c>
      <c r="M5" s="126"/>
      <c r="N5" s="126"/>
      <c r="O5" s="129" t="str">
        <f t="shared" ref="O5:U5" si="5">$A$4</f>
        <v xml:space="preserve"> </v>
      </c>
      <c r="P5" s="129" t="str">
        <f t="shared" si="5"/>
        <v xml:space="preserve"> </v>
      </c>
      <c r="Q5" s="196" t="str">
        <f t="shared" si="5"/>
        <v xml:space="preserve"> </v>
      </c>
      <c r="R5" s="129" t="str">
        <f t="shared" si="5"/>
        <v xml:space="preserve"> </v>
      </c>
      <c r="S5" s="129" t="str">
        <f t="shared" si="5"/>
        <v xml:space="preserve"> </v>
      </c>
      <c r="T5" s="190" t="str">
        <f t="shared" si="5"/>
        <v xml:space="preserve"> </v>
      </c>
      <c r="U5" s="190" t="str">
        <f t="shared" si="5"/>
        <v xml:space="preserve"> </v>
      </c>
    </row>
    <row r="6" spans="1:21" x14ac:dyDescent="0.2">
      <c r="A6" t="str">
        <f>IF(Overview!B24&lt;&gt;"",Overview!B24," ")</f>
        <v xml:space="preserve"> </v>
      </c>
      <c r="B6" t="str">
        <f>IF(Overview!B40&lt;&gt;"",CONCATENATE(Overview!B40," (member in regional system)")," ")</f>
        <v xml:space="preserve"> </v>
      </c>
      <c r="D6" s="129" t="str">
        <f t="shared" si="3"/>
        <v xml:space="preserve"> </v>
      </c>
      <c r="E6" s="1" t="str">
        <f t="shared" si="0"/>
        <v xml:space="preserve"> </v>
      </c>
      <c r="F6" s="130" t="str">
        <f t="shared" si="1"/>
        <v xml:space="preserve"> </v>
      </c>
      <c r="H6" s="138" t="s">
        <v>267</v>
      </c>
      <c r="I6" s="185" t="s">
        <v>345</v>
      </c>
      <c r="J6" s="183" t="s">
        <v>267</v>
      </c>
      <c r="K6" s="120"/>
      <c r="L6" s="126" t="str">
        <f t="shared" si="4"/>
        <v xml:space="preserve"> </v>
      </c>
      <c r="M6" s="126"/>
      <c r="N6" s="126"/>
      <c r="O6" s="129" t="str">
        <f t="shared" ref="O6:U6" si="6">$A$5</f>
        <v xml:space="preserve"> </v>
      </c>
      <c r="P6" s="129" t="str">
        <f t="shared" si="6"/>
        <v xml:space="preserve"> </v>
      </c>
      <c r="Q6" s="196" t="str">
        <f t="shared" si="6"/>
        <v xml:space="preserve"> </v>
      </c>
      <c r="R6" s="129" t="str">
        <f t="shared" si="6"/>
        <v xml:space="preserve"> </v>
      </c>
      <c r="S6" s="129" t="str">
        <f t="shared" si="6"/>
        <v xml:space="preserve"> </v>
      </c>
      <c r="T6" s="190" t="str">
        <f t="shared" si="6"/>
        <v xml:space="preserve"> </v>
      </c>
      <c r="U6" s="190" t="str">
        <f t="shared" si="6"/>
        <v xml:space="preserve"> </v>
      </c>
    </row>
    <row r="7" spans="1:21" x14ac:dyDescent="0.2">
      <c r="A7" t="str">
        <f>IF(Overview!B25&lt;&gt;"",Overview!B25," ")</f>
        <v xml:space="preserve"> </v>
      </c>
      <c r="D7" s="129" t="str">
        <f t="shared" si="3"/>
        <v xml:space="preserve"> </v>
      </c>
      <c r="E7" s="1" t="str">
        <f t="shared" si="0"/>
        <v xml:space="preserve"> </v>
      </c>
      <c r="F7" s="130" t="str">
        <f t="shared" si="1"/>
        <v xml:space="preserve"> </v>
      </c>
      <c r="H7" s="138" t="s">
        <v>268</v>
      </c>
      <c r="I7" s="121" t="s">
        <v>337</v>
      </c>
      <c r="J7" s="140" t="s">
        <v>268</v>
      </c>
      <c r="K7" s="120"/>
      <c r="L7" s="126" t="str">
        <f t="shared" si="4"/>
        <v xml:space="preserve"> </v>
      </c>
      <c r="M7" s="126"/>
      <c r="N7" s="126"/>
      <c r="O7" s="129" t="str">
        <f t="shared" ref="O7:U7" si="7">$A$6</f>
        <v xml:space="preserve"> </v>
      </c>
      <c r="P7" s="129" t="str">
        <f t="shared" si="7"/>
        <v xml:space="preserve"> </v>
      </c>
      <c r="Q7" s="196" t="str">
        <f t="shared" si="7"/>
        <v xml:space="preserve"> </v>
      </c>
      <c r="R7" s="129" t="str">
        <f t="shared" si="7"/>
        <v xml:space="preserve"> </v>
      </c>
      <c r="S7" s="129" t="str">
        <f t="shared" si="7"/>
        <v xml:space="preserve"> </v>
      </c>
      <c r="T7" s="190" t="str">
        <f t="shared" si="7"/>
        <v xml:space="preserve"> </v>
      </c>
      <c r="U7" s="190" t="str">
        <f t="shared" si="7"/>
        <v xml:space="preserve"> </v>
      </c>
    </row>
    <row r="8" spans="1:21" x14ac:dyDescent="0.2">
      <c r="A8" t="str">
        <f>IF(Overview!B26&lt;&gt;"",Overview!B26," ")</f>
        <v xml:space="preserve"> </v>
      </c>
      <c r="B8" t="str">
        <f>IF(Overview!B42&lt;&gt;"",CONCATENATE(Overview!B42," (member in regional system)")," ")</f>
        <v xml:space="preserve"> </v>
      </c>
      <c r="D8" s="129" t="str">
        <f t="shared" si="3"/>
        <v xml:space="preserve"> </v>
      </c>
      <c r="E8" s="1" t="str">
        <f t="shared" si="0"/>
        <v xml:space="preserve"> </v>
      </c>
      <c r="F8" s="130" t="str">
        <f t="shared" si="1"/>
        <v xml:space="preserve"> </v>
      </c>
      <c r="H8" s="184" t="s">
        <v>345</v>
      </c>
      <c r="I8" s="185" t="s">
        <v>338</v>
      </c>
      <c r="J8" s="183" t="s">
        <v>345</v>
      </c>
      <c r="K8" s="120"/>
      <c r="L8" s="126" t="str">
        <f t="shared" si="4"/>
        <v xml:space="preserve"> </v>
      </c>
      <c r="M8" s="126"/>
      <c r="N8" s="126"/>
      <c r="O8" s="129" t="str">
        <f t="shared" ref="O8:U8" si="8">$A$7</f>
        <v xml:space="preserve"> </v>
      </c>
      <c r="P8" s="129" t="str">
        <f t="shared" si="8"/>
        <v xml:space="preserve"> </v>
      </c>
      <c r="Q8" s="196" t="str">
        <f t="shared" si="8"/>
        <v xml:space="preserve"> </v>
      </c>
      <c r="R8" s="129" t="str">
        <f t="shared" si="8"/>
        <v xml:space="preserve"> </v>
      </c>
      <c r="S8" s="129" t="str">
        <f t="shared" si="8"/>
        <v xml:space="preserve"> </v>
      </c>
      <c r="T8" s="190" t="str">
        <f t="shared" si="8"/>
        <v xml:space="preserve"> </v>
      </c>
      <c r="U8" s="190" t="str">
        <f t="shared" si="8"/>
        <v xml:space="preserve"> </v>
      </c>
    </row>
    <row r="9" spans="1:21" x14ac:dyDescent="0.2">
      <c r="A9" t="str">
        <f>IF(Overview!B27&lt;&gt;"",Overview!B27," ")</f>
        <v xml:space="preserve"> </v>
      </c>
      <c r="D9" s="129"/>
      <c r="E9" s="1" t="str">
        <f t="shared" si="0"/>
        <v xml:space="preserve"> </v>
      </c>
      <c r="F9" s="130" t="str">
        <f t="shared" si="1"/>
        <v xml:space="preserve"> </v>
      </c>
      <c r="H9" s="126" t="s">
        <v>337</v>
      </c>
      <c r="I9" s="185" t="s">
        <v>395</v>
      </c>
      <c r="J9" s="127" t="s">
        <v>337</v>
      </c>
      <c r="K9" s="122"/>
      <c r="L9" s="126"/>
      <c r="M9" s="126"/>
      <c r="N9" s="126"/>
      <c r="O9" s="129" t="str">
        <f t="shared" ref="O9:U9" si="9">$A$8</f>
        <v xml:space="preserve"> </v>
      </c>
      <c r="P9" s="129" t="str">
        <f t="shared" si="9"/>
        <v xml:space="preserve"> </v>
      </c>
      <c r="Q9" s="196" t="str">
        <f t="shared" si="9"/>
        <v xml:space="preserve"> </v>
      </c>
      <c r="R9" s="129" t="str">
        <f t="shared" si="9"/>
        <v xml:space="preserve"> </v>
      </c>
      <c r="S9" s="129" t="str">
        <f t="shared" si="9"/>
        <v xml:space="preserve"> </v>
      </c>
      <c r="T9" s="190" t="str">
        <f t="shared" si="9"/>
        <v xml:space="preserve"> </v>
      </c>
      <c r="U9" s="190" t="str">
        <f t="shared" si="9"/>
        <v xml:space="preserve"> </v>
      </c>
    </row>
    <row r="10" spans="1:21" x14ac:dyDescent="0.2">
      <c r="A10" t="str">
        <f>IF(Overview!B28&lt;&gt;"",Overview!B28," ")</f>
        <v xml:space="preserve"> </v>
      </c>
      <c r="D10" s="129"/>
      <c r="E10" s="1" t="str">
        <f t="shared" si="0"/>
        <v xml:space="preserve"> </v>
      </c>
      <c r="F10" s="130" t="str">
        <f t="shared" si="1"/>
        <v xml:space="preserve"> </v>
      </c>
      <c r="H10" s="184" t="s">
        <v>338</v>
      </c>
      <c r="I10" s="1"/>
      <c r="J10" s="183" t="s">
        <v>338</v>
      </c>
      <c r="K10" s="122"/>
      <c r="L10" s="126"/>
      <c r="M10" s="126"/>
      <c r="N10" s="126"/>
      <c r="O10" s="129" t="str">
        <f t="shared" ref="O10:U10" si="10">$A$9</f>
        <v xml:space="preserve"> </v>
      </c>
      <c r="P10" s="129" t="str">
        <f t="shared" si="10"/>
        <v xml:space="preserve"> </v>
      </c>
      <c r="Q10" s="196" t="str">
        <f t="shared" si="10"/>
        <v xml:space="preserve"> </v>
      </c>
      <c r="R10" s="129" t="str">
        <f t="shared" si="10"/>
        <v xml:space="preserve"> </v>
      </c>
      <c r="S10" s="129" t="str">
        <f t="shared" si="10"/>
        <v xml:space="preserve"> </v>
      </c>
      <c r="T10" s="190" t="str">
        <f t="shared" si="10"/>
        <v xml:space="preserve"> </v>
      </c>
      <c r="U10" s="190" t="str">
        <f t="shared" si="10"/>
        <v xml:space="preserve"> </v>
      </c>
    </row>
    <row r="11" spans="1:21" x14ac:dyDescent="0.2">
      <c r="A11" t="str">
        <f>IF(Overview!B29&lt;&gt;"",Overview!B29," ")</f>
        <v xml:space="preserve"> </v>
      </c>
      <c r="D11" s="129"/>
      <c r="E11" s="1" t="str">
        <f t="shared" si="0"/>
        <v xml:space="preserve"> </v>
      </c>
      <c r="F11" s="130" t="str">
        <f t="shared" si="1"/>
        <v xml:space="preserve"> </v>
      </c>
      <c r="H11" s="184" t="s">
        <v>395</v>
      </c>
      <c r="I11" s="1"/>
      <c r="J11" s="183" t="s">
        <v>395</v>
      </c>
      <c r="L11" s="126"/>
      <c r="M11" s="126"/>
      <c r="N11" s="126"/>
      <c r="O11" s="129" t="str">
        <f t="shared" ref="O11:U11" si="11">$A$10</f>
        <v xml:space="preserve"> </v>
      </c>
      <c r="P11" s="129" t="str">
        <f t="shared" si="11"/>
        <v xml:space="preserve"> </v>
      </c>
      <c r="Q11" s="196" t="str">
        <f t="shared" si="11"/>
        <v xml:space="preserve"> </v>
      </c>
      <c r="R11" s="129" t="str">
        <f t="shared" si="11"/>
        <v xml:space="preserve"> </v>
      </c>
      <c r="S11" s="129" t="str">
        <f t="shared" si="11"/>
        <v xml:space="preserve"> </v>
      </c>
      <c r="T11" s="190" t="str">
        <f t="shared" si="11"/>
        <v xml:space="preserve"> </v>
      </c>
      <c r="U11" s="190" t="str">
        <f t="shared" si="11"/>
        <v xml:space="preserve"> </v>
      </c>
    </row>
    <row r="12" spans="1:21" x14ac:dyDescent="0.2">
      <c r="A12" t="str">
        <f>IF(Overview!B30&lt;&gt;"",Overview!B30," ")</f>
        <v xml:space="preserve"> </v>
      </c>
      <c r="D12" s="129"/>
      <c r="E12" s="1" t="str">
        <f t="shared" si="0"/>
        <v xml:space="preserve"> </v>
      </c>
      <c r="F12" s="130" t="str">
        <f t="shared" si="1"/>
        <v xml:space="preserve"> </v>
      </c>
      <c r="H12" s="129"/>
      <c r="I12" s="1"/>
      <c r="J12" s="130"/>
      <c r="L12" s="126"/>
      <c r="M12" s="126"/>
      <c r="N12" s="126"/>
      <c r="O12" s="129" t="str">
        <f t="shared" ref="O12:U12" si="12">$A$11</f>
        <v xml:space="preserve"> </v>
      </c>
      <c r="P12" s="129" t="str">
        <f t="shared" si="12"/>
        <v xml:space="preserve"> </v>
      </c>
      <c r="Q12" s="196" t="str">
        <f t="shared" si="12"/>
        <v xml:space="preserve"> </v>
      </c>
      <c r="R12" s="129" t="str">
        <f t="shared" si="12"/>
        <v xml:space="preserve"> </v>
      </c>
      <c r="S12" s="129" t="str">
        <f t="shared" si="12"/>
        <v xml:space="preserve"> </v>
      </c>
      <c r="T12" s="190" t="str">
        <f t="shared" si="12"/>
        <v xml:space="preserve"> </v>
      </c>
      <c r="U12" s="190" t="str">
        <f t="shared" si="12"/>
        <v xml:space="preserve"> </v>
      </c>
    </row>
    <row r="13" spans="1:21" x14ac:dyDescent="0.2">
      <c r="A13" t="str">
        <f>IF(Overview!B31&lt;&gt;"",Overview!B31," ")</f>
        <v xml:space="preserve"> </v>
      </c>
      <c r="D13" s="129"/>
      <c r="E13" s="1" t="str">
        <f t="shared" si="0"/>
        <v xml:space="preserve"> </v>
      </c>
      <c r="F13" s="130" t="str">
        <f t="shared" si="1"/>
        <v xml:space="preserve"> </v>
      </c>
      <c r="H13" s="131"/>
      <c r="I13" s="132"/>
      <c r="J13" s="133"/>
      <c r="L13" s="126"/>
      <c r="M13" s="126"/>
      <c r="N13" s="126"/>
      <c r="O13" s="129" t="str">
        <f t="shared" ref="O13:U13" si="13">$A$12</f>
        <v xml:space="preserve"> </v>
      </c>
      <c r="P13" s="129" t="str">
        <f t="shared" si="13"/>
        <v xml:space="preserve"> </v>
      </c>
      <c r="Q13" s="196" t="str">
        <f t="shared" si="13"/>
        <v xml:space="preserve"> </v>
      </c>
      <c r="R13" s="129" t="str">
        <f t="shared" si="13"/>
        <v xml:space="preserve"> </v>
      </c>
      <c r="S13" s="129" t="str">
        <f t="shared" si="13"/>
        <v xml:space="preserve"> </v>
      </c>
      <c r="T13" s="190" t="str">
        <f t="shared" si="13"/>
        <v xml:space="preserve"> </v>
      </c>
      <c r="U13" s="190" t="str">
        <f t="shared" si="13"/>
        <v xml:space="preserve"> </v>
      </c>
    </row>
    <row r="14" spans="1:21" x14ac:dyDescent="0.2">
      <c r="A14" t="str">
        <f>IF(Overview!B32&lt;&gt;"",Overview!B32," ")</f>
        <v xml:space="preserve"> </v>
      </c>
      <c r="D14" s="129"/>
      <c r="E14" s="1" t="str">
        <f t="shared" si="0"/>
        <v xml:space="preserve"> </v>
      </c>
      <c r="F14" s="130" t="str">
        <f t="shared" si="1"/>
        <v xml:space="preserve"> </v>
      </c>
      <c r="L14" s="126"/>
      <c r="M14" s="126"/>
      <c r="N14" s="126"/>
      <c r="O14" s="129" t="str">
        <f t="shared" ref="O14:U14" si="14">$A$13</f>
        <v xml:space="preserve"> </v>
      </c>
      <c r="P14" s="129" t="str">
        <f t="shared" si="14"/>
        <v xml:space="preserve"> </v>
      </c>
      <c r="Q14" s="196" t="str">
        <f t="shared" si="14"/>
        <v xml:space="preserve"> </v>
      </c>
      <c r="R14" s="129" t="str">
        <f t="shared" si="14"/>
        <v xml:space="preserve"> </v>
      </c>
      <c r="S14" s="129" t="str">
        <f t="shared" si="14"/>
        <v xml:space="preserve"> </v>
      </c>
      <c r="T14" s="190" t="str">
        <f t="shared" si="14"/>
        <v xml:space="preserve"> </v>
      </c>
      <c r="U14" s="190" t="str">
        <f t="shared" si="14"/>
        <v xml:space="preserve"> </v>
      </c>
    </row>
    <row r="15" spans="1:21" x14ac:dyDescent="0.2">
      <c r="A15" t="str">
        <f>IF(Overview!B33&lt;&gt;"",Overview!B33," ")</f>
        <v xml:space="preserve"> </v>
      </c>
      <c r="D15" s="129"/>
      <c r="E15" s="1" t="str">
        <f t="shared" si="0"/>
        <v xml:space="preserve"> </v>
      </c>
      <c r="F15" s="130" t="str">
        <f t="shared" si="1"/>
        <v xml:space="preserve"> </v>
      </c>
      <c r="L15" s="126"/>
      <c r="M15" s="126"/>
      <c r="N15" s="126"/>
      <c r="O15" s="129" t="str">
        <f t="shared" ref="O15:U15" si="15">$A$14</f>
        <v xml:space="preserve"> </v>
      </c>
      <c r="P15" s="129" t="str">
        <f t="shared" si="15"/>
        <v xml:space="preserve"> </v>
      </c>
      <c r="Q15" s="196" t="str">
        <f t="shared" si="15"/>
        <v xml:space="preserve"> </v>
      </c>
      <c r="R15" s="129" t="str">
        <f t="shared" si="15"/>
        <v xml:space="preserve"> </v>
      </c>
      <c r="S15" s="129" t="str">
        <f t="shared" si="15"/>
        <v xml:space="preserve"> </v>
      </c>
      <c r="T15" s="190" t="str">
        <f t="shared" si="15"/>
        <v xml:space="preserve"> </v>
      </c>
      <c r="U15" s="190" t="str">
        <f t="shared" si="15"/>
        <v xml:space="preserve"> </v>
      </c>
    </row>
    <row r="16" spans="1:21" x14ac:dyDescent="0.2">
      <c r="A16" t="str">
        <f>IF(Overview!B34&lt;&gt;"",Overview!B34," ")</f>
        <v xml:space="preserve"> </v>
      </c>
      <c r="D16" s="129"/>
      <c r="E16" s="1" t="str">
        <f t="shared" si="0"/>
        <v xml:space="preserve"> </v>
      </c>
      <c r="F16" s="130" t="str">
        <f t="shared" si="1"/>
        <v xml:space="preserve"> </v>
      </c>
      <c r="L16" s="126"/>
      <c r="M16" s="126"/>
      <c r="N16" s="126"/>
      <c r="O16" s="129" t="str">
        <f t="shared" ref="O16:U16" si="16">$A$15</f>
        <v xml:space="preserve"> </v>
      </c>
      <c r="P16" s="129" t="str">
        <f t="shared" si="16"/>
        <v xml:space="preserve"> </v>
      </c>
      <c r="Q16" s="196" t="str">
        <f t="shared" si="16"/>
        <v xml:space="preserve"> </v>
      </c>
      <c r="R16" s="129" t="str">
        <f t="shared" si="16"/>
        <v xml:space="preserve"> </v>
      </c>
      <c r="S16" s="129" t="str">
        <f t="shared" si="16"/>
        <v xml:space="preserve"> </v>
      </c>
      <c r="T16" s="190" t="str">
        <f t="shared" si="16"/>
        <v xml:space="preserve"> </v>
      </c>
      <c r="U16" s="190" t="str">
        <f t="shared" si="16"/>
        <v xml:space="preserve"> </v>
      </c>
    </row>
    <row r="17" spans="4:21" x14ac:dyDescent="0.2">
      <c r="D17" s="129"/>
      <c r="E17" s="1" t="str">
        <f t="shared" si="0"/>
        <v xml:space="preserve"> </v>
      </c>
      <c r="F17" s="130" t="str">
        <f t="shared" si="1"/>
        <v xml:space="preserve"> </v>
      </c>
      <c r="L17" s="126"/>
      <c r="M17" s="126"/>
      <c r="N17" s="126"/>
      <c r="O17" s="129" t="str">
        <f t="shared" ref="O17:U17" si="17">$A$16</f>
        <v xml:space="preserve"> </v>
      </c>
      <c r="P17" s="129" t="str">
        <f t="shared" si="17"/>
        <v xml:space="preserve"> </v>
      </c>
      <c r="Q17" s="196" t="str">
        <f t="shared" si="17"/>
        <v xml:space="preserve"> </v>
      </c>
      <c r="R17" s="129" t="str">
        <f t="shared" si="17"/>
        <v xml:space="preserve"> </v>
      </c>
      <c r="S17" s="129" t="str">
        <f t="shared" si="17"/>
        <v xml:space="preserve"> </v>
      </c>
      <c r="T17" s="190" t="str">
        <f t="shared" si="17"/>
        <v xml:space="preserve"> </v>
      </c>
      <c r="U17" s="190" t="str">
        <f t="shared" si="17"/>
        <v xml:space="preserve"> </v>
      </c>
    </row>
    <row r="18" spans="4:21" x14ac:dyDescent="0.2">
      <c r="D18" s="129"/>
      <c r="E18" s="1" t="str">
        <f>B2</f>
        <v xml:space="preserve"> </v>
      </c>
      <c r="F18" s="130" t="str">
        <f>B2</f>
        <v xml:space="preserve"> </v>
      </c>
      <c r="L18" s="126"/>
      <c r="M18" s="126"/>
      <c r="N18" s="126"/>
      <c r="O18" s="129" t="str">
        <f t="shared" ref="O18:U18" si="18">$B$2</f>
        <v xml:space="preserve"> </v>
      </c>
      <c r="P18" s="129" t="str">
        <f t="shared" si="18"/>
        <v xml:space="preserve"> </v>
      </c>
      <c r="Q18" s="196" t="str">
        <f t="shared" si="18"/>
        <v xml:space="preserve"> </v>
      </c>
      <c r="R18" s="129" t="str">
        <f t="shared" si="18"/>
        <v xml:space="preserve"> </v>
      </c>
      <c r="S18" s="129" t="str">
        <f t="shared" si="18"/>
        <v xml:space="preserve"> </v>
      </c>
      <c r="T18" s="190" t="str">
        <f t="shared" si="18"/>
        <v xml:space="preserve"> </v>
      </c>
      <c r="U18" s="190" t="str">
        <f t="shared" si="18"/>
        <v xml:space="preserve"> </v>
      </c>
    </row>
    <row r="19" spans="4:21" x14ac:dyDescent="0.2">
      <c r="D19" s="129"/>
      <c r="E19" s="1" t="str">
        <f t="shared" ref="E19:E22" si="19">B3</f>
        <v xml:space="preserve"> </v>
      </c>
      <c r="F19" s="130" t="str">
        <f t="shared" ref="F19:F22" si="20">B3</f>
        <v xml:space="preserve"> </v>
      </c>
      <c r="L19" s="126"/>
      <c r="M19" s="126"/>
      <c r="N19" s="126"/>
      <c r="O19" s="129" t="str">
        <f t="shared" ref="O19:U19" si="21">$B$3</f>
        <v xml:space="preserve"> </v>
      </c>
      <c r="P19" s="129" t="str">
        <f t="shared" si="21"/>
        <v xml:space="preserve"> </v>
      </c>
      <c r="Q19" s="196" t="str">
        <f t="shared" si="21"/>
        <v xml:space="preserve"> </v>
      </c>
      <c r="R19" s="129" t="str">
        <f t="shared" si="21"/>
        <v xml:space="preserve"> </v>
      </c>
      <c r="S19" s="129" t="str">
        <f t="shared" si="21"/>
        <v xml:space="preserve"> </v>
      </c>
      <c r="T19" s="190" t="str">
        <f t="shared" si="21"/>
        <v xml:space="preserve"> </v>
      </c>
      <c r="U19" s="190" t="str">
        <f t="shared" si="21"/>
        <v xml:space="preserve"> </v>
      </c>
    </row>
    <row r="20" spans="4:21" x14ac:dyDescent="0.2">
      <c r="D20" s="129"/>
      <c r="E20" s="1" t="str">
        <f t="shared" si="19"/>
        <v xml:space="preserve"> </v>
      </c>
      <c r="F20" s="130" t="str">
        <f t="shared" si="20"/>
        <v xml:space="preserve"> </v>
      </c>
      <c r="L20" s="126"/>
      <c r="M20" s="126"/>
      <c r="N20" s="126"/>
      <c r="O20" s="129" t="str">
        <f t="shared" ref="O20:U20" si="22">$B$4</f>
        <v xml:space="preserve"> </v>
      </c>
      <c r="P20" s="129" t="str">
        <f t="shared" si="22"/>
        <v xml:space="preserve"> </v>
      </c>
      <c r="Q20" s="196" t="str">
        <f t="shared" si="22"/>
        <v xml:space="preserve"> </v>
      </c>
      <c r="R20" s="129" t="str">
        <f t="shared" si="22"/>
        <v xml:space="preserve"> </v>
      </c>
      <c r="S20" s="129" t="str">
        <f t="shared" si="22"/>
        <v xml:space="preserve"> </v>
      </c>
      <c r="T20" s="190" t="str">
        <f t="shared" si="22"/>
        <v xml:space="preserve"> </v>
      </c>
      <c r="U20" s="190" t="str">
        <f t="shared" si="22"/>
        <v xml:space="preserve"> </v>
      </c>
    </row>
    <row r="21" spans="4:21" x14ac:dyDescent="0.2">
      <c r="D21" s="129"/>
      <c r="E21" s="1" t="str">
        <f t="shared" si="19"/>
        <v xml:space="preserve"> </v>
      </c>
      <c r="F21" s="130" t="str">
        <f t="shared" si="20"/>
        <v xml:space="preserve"> </v>
      </c>
      <c r="L21" s="126"/>
      <c r="M21" s="126"/>
      <c r="N21" s="126"/>
      <c r="O21" s="129" t="str">
        <f t="shared" ref="O21:U21" si="23">$B$5</f>
        <v xml:space="preserve"> </v>
      </c>
      <c r="P21" s="129" t="str">
        <f t="shared" si="23"/>
        <v xml:space="preserve"> </v>
      </c>
      <c r="Q21" s="196" t="str">
        <f t="shared" si="23"/>
        <v xml:space="preserve"> </v>
      </c>
      <c r="R21" s="129" t="str">
        <f t="shared" si="23"/>
        <v xml:space="preserve"> </v>
      </c>
      <c r="S21" s="129" t="str">
        <f t="shared" si="23"/>
        <v xml:space="preserve"> </v>
      </c>
      <c r="T21" s="190" t="str">
        <f t="shared" si="23"/>
        <v xml:space="preserve"> </v>
      </c>
      <c r="U21" s="190" t="str">
        <f t="shared" si="23"/>
        <v xml:space="preserve"> </v>
      </c>
    </row>
    <row r="22" spans="4:21" x14ac:dyDescent="0.2">
      <c r="D22" s="131"/>
      <c r="E22" s="132" t="str">
        <f t="shared" si="19"/>
        <v xml:space="preserve"> </v>
      </c>
      <c r="F22" s="133" t="str">
        <f t="shared" si="20"/>
        <v xml:space="preserve"> </v>
      </c>
      <c r="L22" s="128"/>
      <c r="M22" s="128"/>
      <c r="N22" s="128"/>
      <c r="O22" s="131" t="str">
        <f t="shared" ref="O22:U22" si="24">$B$6</f>
        <v xml:space="preserve"> </v>
      </c>
      <c r="P22" s="131" t="str">
        <f t="shared" si="24"/>
        <v xml:space="preserve"> </v>
      </c>
      <c r="Q22" s="197" t="str">
        <f t="shared" si="24"/>
        <v xml:space="preserve"> </v>
      </c>
      <c r="R22" s="131" t="str">
        <f t="shared" si="24"/>
        <v xml:space="preserve"> </v>
      </c>
      <c r="S22" s="131" t="str">
        <f t="shared" si="24"/>
        <v xml:space="preserve"> </v>
      </c>
      <c r="T22" s="191" t="str">
        <f t="shared" si="24"/>
        <v xml:space="preserve"> </v>
      </c>
      <c r="U22" s="191" t="str">
        <f t="shared" si="24"/>
        <v xml:space="preserve"> </v>
      </c>
    </row>
    <row r="23" spans="4:21" x14ac:dyDescent="0.2">
      <c r="O23" s="198"/>
    </row>
    <row r="24" spans="4:21" x14ac:dyDescent="0.2">
      <c r="O24" s="198"/>
    </row>
    <row r="25" spans="4:21" x14ac:dyDescent="0.2">
      <c r="L25" s="123" t="s">
        <v>317</v>
      </c>
      <c r="M25" s="124" t="s">
        <v>272</v>
      </c>
      <c r="N25" s="124" t="s">
        <v>273</v>
      </c>
      <c r="O25" s="194" t="s">
        <v>308</v>
      </c>
      <c r="P25" s="186" t="s">
        <v>341</v>
      </c>
      <c r="Q25" s="188" t="s">
        <v>342</v>
      </c>
      <c r="R25" s="189" t="s">
        <v>347</v>
      </c>
      <c r="S25" s="350" t="s">
        <v>397</v>
      </c>
    </row>
    <row r="26" spans="4:21" x14ac:dyDescent="0.2">
      <c r="L26" s="129">
        <f>A2</f>
        <v>0</v>
      </c>
      <c r="M26" s="1">
        <f>D3</f>
        <v>0</v>
      </c>
      <c r="N26" s="1">
        <f>D3</f>
        <v>0</v>
      </c>
      <c r="O26" s="199">
        <f>D3</f>
        <v>0</v>
      </c>
      <c r="P26" s="1">
        <f>D3</f>
        <v>0</v>
      </c>
      <c r="Q26" s="1">
        <f>D3</f>
        <v>0</v>
      </c>
      <c r="R26" s="190">
        <f>D3</f>
        <v>0</v>
      </c>
      <c r="S26">
        <f>D3</f>
        <v>0</v>
      </c>
    </row>
    <row r="27" spans="4:21" x14ac:dyDescent="0.2">
      <c r="L27" s="129" t="str">
        <f t="shared" ref="L27:S27" si="25">$A$3</f>
        <v xml:space="preserve"> </v>
      </c>
      <c r="M27" s="129" t="str">
        <f t="shared" si="25"/>
        <v xml:space="preserve"> </v>
      </c>
      <c r="N27" s="129" t="str">
        <f t="shared" si="25"/>
        <v xml:space="preserve"> </v>
      </c>
      <c r="O27" s="196" t="str">
        <f t="shared" si="25"/>
        <v xml:space="preserve"> </v>
      </c>
      <c r="P27" s="129" t="str">
        <f t="shared" si="25"/>
        <v xml:space="preserve"> </v>
      </c>
      <c r="Q27" s="129" t="str">
        <f t="shared" si="25"/>
        <v xml:space="preserve"> </v>
      </c>
      <c r="R27" s="190" t="str">
        <f t="shared" si="25"/>
        <v xml:space="preserve"> </v>
      </c>
      <c r="S27" s="190" t="str">
        <f t="shared" si="25"/>
        <v xml:space="preserve"> </v>
      </c>
    </row>
    <row r="28" spans="4:21" x14ac:dyDescent="0.2">
      <c r="L28" s="129" t="str">
        <f t="shared" ref="L28:S28" si="26">$A$4</f>
        <v xml:space="preserve"> </v>
      </c>
      <c r="M28" s="129" t="str">
        <f t="shared" si="26"/>
        <v xml:space="preserve"> </v>
      </c>
      <c r="N28" s="129" t="str">
        <f t="shared" si="26"/>
        <v xml:space="preserve"> </v>
      </c>
      <c r="O28" s="196" t="str">
        <f t="shared" si="26"/>
        <v xml:space="preserve"> </v>
      </c>
      <c r="P28" s="129" t="str">
        <f t="shared" si="26"/>
        <v xml:space="preserve"> </v>
      </c>
      <c r="Q28" s="129" t="str">
        <f t="shared" si="26"/>
        <v xml:space="preserve"> </v>
      </c>
      <c r="R28" s="190" t="str">
        <f t="shared" si="26"/>
        <v xml:space="preserve"> </v>
      </c>
      <c r="S28" s="190" t="str">
        <f t="shared" si="26"/>
        <v xml:space="preserve"> </v>
      </c>
    </row>
    <row r="29" spans="4:21" x14ac:dyDescent="0.2">
      <c r="L29" s="129" t="str">
        <f t="shared" ref="L29:S29" si="27">$A$5</f>
        <v xml:space="preserve"> </v>
      </c>
      <c r="M29" s="129" t="str">
        <f t="shared" si="27"/>
        <v xml:space="preserve"> </v>
      </c>
      <c r="N29" s="129" t="str">
        <f t="shared" si="27"/>
        <v xml:space="preserve"> </v>
      </c>
      <c r="O29" s="196" t="str">
        <f t="shared" si="27"/>
        <v xml:space="preserve"> </v>
      </c>
      <c r="P29" s="129" t="str">
        <f t="shared" si="27"/>
        <v xml:space="preserve"> </v>
      </c>
      <c r="Q29" s="129" t="str">
        <f t="shared" si="27"/>
        <v xml:space="preserve"> </v>
      </c>
      <c r="R29" s="190" t="str">
        <f t="shared" si="27"/>
        <v xml:space="preserve"> </v>
      </c>
      <c r="S29" s="190" t="str">
        <f t="shared" si="27"/>
        <v xml:space="preserve"> </v>
      </c>
    </row>
    <row r="30" spans="4:21" x14ac:dyDescent="0.2">
      <c r="L30" s="129" t="str">
        <f t="shared" ref="L30:S30" si="28">$A$6</f>
        <v xml:space="preserve"> </v>
      </c>
      <c r="M30" s="129" t="str">
        <f t="shared" si="28"/>
        <v xml:space="preserve"> </v>
      </c>
      <c r="N30" s="129" t="str">
        <f t="shared" si="28"/>
        <v xml:space="preserve"> </v>
      </c>
      <c r="O30" s="196" t="str">
        <f t="shared" si="28"/>
        <v xml:space="preserve"> </v>
      </c>
      <c r="P30" s="129" t="str">
        <f t="shared" si="28"/>
        <v xml:space="preserve"> </v>
      </c>
      <c r="Q30" s="129" t="str">
        <f t="shared" si="28"/>
        <v xml:space="preserve"> </v>
      </c>
      <c r="R30" s="190" t="str">
        <f t="shared" si="28"/>
        <v xml:space="preserve"> </v>
      </c>
      <c r="S30" s="190" t="str">
        <f t="shared" si="28"/>
        <v xml:space="preserve"> </v>
      </c>
    </row>
    <row r="31" spans="4:21" x14ac:dyDescent="0.2">
      <c r="L31" s="129" t="str">
        <f t="shared" ref="L31:S31" si="29">$A$7</f>
        <v xml:space="preserve"> </v>
      </c>
      <c r="M31" s="129" t="str">
        <f t="shared" si="29"/>
        <v xml:space="preserve"> </v>
      </c>
      <c r="N31" s="129" t="str">
        <f t="shared" si="29"/>
        <v xml:space="preserve"> </v>
      </c>
      <c r="O31" s="196" t="str">
        <f t="shared" si="29"/>
        <v xml:space="preserve"> </v>
      </c>
      <c r="P31" s="129" t="str">
        <f t="shared" si="29"/>
        <v xml:space="preserve"> </v>
      </c>
      <c r="Q31" s="129" t="str">
        <f t="shared" si="29"/>
        <v xml:space="preserve"> </v>
      </c>
      <c r="R31" s="190" t="str">
        <f t="shared" si="29"/>
        <v xml:space="preserve"> </v>
      </c>
      <c r="S31" s="190" t="str">
        <f t="shared" si="29"/>
        <v xml:space="preserve"> </v>
      </c>
    </row>
    <row r="32" spans="4:21" x14ac:dyDescent="0.2">
      <c r="L32" s="129" t="str">
        <f t="shared" ref="L32:S32" si="30">$A$8</f>
        <v xml:space="preserve"> </v>
      </c>
      <c r="M32" s="129" t="str">
        <f t="shared" si="30"/>
        <v xml:space="preserve"> </v>
      </c>
      <c r="N32" s="129" t="str">
        <f t="shared" si="30"/>
        <v xml:space="preserve"> </v>
      </c>
      <c r="O32" s="196" t="str">
        <f t="shared" si="30"/>
        <v xml:space="preserve"> </v>
      </c>
      <c r="P32" s="129" t="str">
        <f t="shared" si="30"/>
        <v xml:space="preserve"> </v>
      </c>
      <c r="Q32" s="129" t="str">
        <f t="shared" si="30"/>
        <v xml:space="preserve"> </v>
      </c>
      <c r="R32" s="190" t="str">
        <f t="shared" si="30"/>
        <v xml:space="preserve"> </v>
      </c>
      <c r="S32" s="190" t="str">
        <f t="shared" si="30"/>
        <v xml:space="preserve"> </v>
      </c>
    </row>
    <row r="33" spans="12:21" x14ac:dyDescent="0.2">
      <c r="L33" s="129" t="str">
        <f t="shared" ref="L33:S33" si="31">$A$9</f>
        <v xml:space="preserve"> </v>
      </c>
      <c r="M33" s="129" t="str">
        <f t="shared" si="31"/>
        <v xml:space="preserve"> </v>
      </c>
      <c r="N33" s="129" t="str">
        <f t="shared" si="31"/>
        <v xml:space="preserve"> </v>
      </c>
      <c r="O33" s="196" t="str">
        <f t="shared" si="31"/>
        <v xml:space="preserve"> </v>
      </c>
      <c r="P33" s="129" t="str">
        <f t="shared" si="31"/>
        <v xml:space="preserve"> </v>
      </c>
      <c r="Q33" s="129" t="str">
        <f t="shared" si="31"/>
        <v xml:space="preserve"> </v>
      </c>
      <c r="R33" s="190" t="str">
        <f t="shared" si="31"/>
        <v xml:space="preserve"> </v>
      </c>
      <c r="S33" s="190" t="str">
        <f t="shared" si="31"/>
        <v xml:space="preserve"> </v>
      </c>
    </row>
    <row r="34" spans="12:21" x14ac:dyDescent="0.2">
      <c r="L34" s="129" t="str">
        <f t="shared" ref="L34:S34" si="32">$A$10</f>
        <v xml:space="preserve"> </v>
      </c>
      <c r="M34" s="129" t="str">
        <f t="shared" si="32"/>
        <v xml:space="preserve"> </v>
      </c>
      <c r="N34" s="129" t="str">
        <f t="shared" si="32"/>
        <v xml:space="preserve"> </v>
      </c>
      <c r="O34" s="196" t="str">
        <f t="shared" si="32"/>
        <v xml:space="preserve"> </v>
      </c>
      <c r="P34" s="129" t="str">
        <f t="shared" si="32"/>
        <v xml:space="preserve"> </v>
      </c>
      <c r="Q34" s="129" t="str">
        <f t="shared" si="32"/>
        <v xml:space="preserve"> </v>
      </c>
      <c r="R34" s="190" t="str">
        <f t="shared" si="32"/>
        <v xml:space="preserve"> </v>
      </c>
      <c r="S34" s="190" t="str">
        <f t="shared" si="32"/>
        <v xml:space="preserve"> </v>
      </c>
    </row>
    <row r="35" spans="12:21" x14ac:dyDescent="0.2">
      <c r="L35" s="129" t="str">
        <f t="shared" ref="L35:S35" si="33">$A$11</f>
        <v xml:space="preserve"> </v>
      </c>
      <c r="M35" s="129" t="str">
        <f t="shared" si="33"/>
        <v xml:space="preserve"> </v>
      </c>
      <c r="N35" s="129" t="str">
        <f t="shared" si="33"/>
        <v xml:space="preserve"> </v>
      </c>
      <c r="O35" s="196" t="str">
        <f t="shared" si="33"/>
        <v xml:space="preserve"> </v>
      </c>
      <c r="P35" s="129" t="str">
        <f t="shared" si="33"/>
        <v xml:space="preserve"> </v>
      </c>
      <c r="Q35" s="129" t="str">
        <f t="shared" si="33"/>
        <v xml:space="preserve"> </v>
      </c>
      <c r="R35" s="190" t="str">
        <f t="shared" si="33"/>
        <v xml:space="preserve"> </v>
      </c>
      <c r="S35" s="190" t="str">
        <f t="shared" si="33"/>
        <v xml:space="preserve"> </v>
      </c>
    </row>
    <row r="36" spans="12:21" x14ac:dyDescent="0.2">
      <c r="L36" s="129" t="str">
        <f t="shared" ref="L36:S36" si="34">$A$12</f>
        <v xml:space="preserve"> </v>
      </c>
      <c r="M36" s="129" t="str">
        <f t="shared" si="34"/>
        <v xml:space="preserve"> </v>
      </c>
      <c r="N36" s="129" t="str">
        <f t="shared" si="34"/>
        <v xml:space="preserve"> </v>
      </c>
      <c r="O36" s="196" t="str">
        <f t="shared" si="34"/>
        <v xml:space="preserve"> </v>
      </c>
      <c r="P36" s="129" t="str">
        <f t="shared" si="34"/>
        <v xml:space="preserve"> </v>
      </c>
      <c r="Q36" s="129" t="str">
        <f t="shared" si="34"/>
        <v xml:space="preserve"> </v>
      </c>
      <c r="R36" s="190" t="str">
        <f t="shared" si="34"/>
        <v xml:space="preserve"> </v>
      </c>
      <c r="S36" s="190" t="str">
        <f t="shared" si="34"/>
        <v xml:space="preserve"> </v>
      </c>
    </row>
    <row r="37" spans="12:21" x14ac:dyDescent="0.2">
      <c r="L37" s="129" t="str">
        <f t="shared" ref="L37:S37" si="35">$A$13</f>
        <v xml:space="preserve"> </v>
      </c>
      <c r="M37" s="129" t="str">
        <f t="shared" si="35"/>
        <v xml:space="preserve"> </v>
      </c>
      <c r="N37" s="129" t="str">
        <f t="shared" si="35"/>
        <v xml:space="preserve"> </v>
      </c>
      <c r="O37" s="196" t="str">
        <f t="shared" si="35"/>
        <v xml:space="preserve"> </v>
      </c>
      <c r="P37" s="129" t="str">
        <f t="shared" si="35"/>
        <v xml:space="preserve"> </v>
      </c>
      <c r="Q37" s="129" t="str">
        <f t="shared" si="35"/>
        <v xml:space="preserve"> </v>
      </c>
      <c r="R37" s="190" t="str">
        <f t="shared" si="35"/>
        <v xml:space="preserve"> </v>
      </c>
      <c r="S37" s="190" t="str">
        <f t="shared" si="35"/>
        <v xml:space="preserve"> </v>
      </c>
    </row>
    <row r="38" spans="12:21" x14ac:dyDescent="0.2">
      <c r="L38" s="129" t="str">
        <f t="shared" ref="L38:S38" si="36">$A$14</f>
        <v xml:space="preserve"> </v>
      </c>
      <c r="M38" s="129" t="str">
        <f t="shared" si="36"/>
        <v xml:space="preserve"> </v>
      </c>
      <c r="N38" s="129" t="str">
        <f t="shared" si="36"/>
        <v xml:space="preserve"> </v>
      </c>
      <c r="O38" s="196" t="str">
        <f t="shared" si="36"/>
        <v xml:space="preserve"> </v>
      </c>
      <c r="P38" s="129" t="str">
        <f t="shared" si="36"/>
        <v xml:space="preserve"> </v>
      </c>
      <c r="Q38" s="129" t="str">
        <f t="shared" si="36"/>
        <v xml:space="preserve"> </v>
      </c>
      <c r="R38" s="190" t="str">
        <f t="shared" si="36"/>
        <v xml:space="preserve"> </v>
      </c>
      <c r="S38" s="190" t="str">
        <f t="shared" si="36"/>
        <v xml:space="preserve"> </v>
      </c>
    </row>
    <row r="39" spans="12:21" x14ac:dyDescent="0.2">
      <c r="L39" s="129" t="str">
        <f t="shared" ref="L39:S39" si="37">$A$15</f>
        <v xml:space="preserve"> </v>
      </c>
      <c r="M39" s="129" t="str">
        <f t="shared" si="37"/>
        <v xml:space="preserve"> </v>
      </c>
      <c r="N39" s="129" t="str">
        <f t="shared" si="37"/>
        <v xml:space="preserve"> </v>
      </c>
      <c r="O39" s="196" t="str">
        <f t="shared" si="37"/>
        <v xml:space="preserve"> </v>
      </c>
      <c r="P39" s="129" t="str">
        <f t="shared" si="37"/>
        <v xml:space="preserve"> </v>
      </c>
      <c r="Q39" s="129" t="str">
        <f t="shared" si="37"/>
        <v xml:space="preserve"> </v>
      </c>
      <c r="R39" s="190" t="str">
        <f t="shared" si="37"/>
        <v xml:space="preserve"> </v>
      </c>
      <c r="S39" s="190" t="str">
        <f t="shared" si="37"/>
        <v xml:space="preserve"> </v>
      </c>
    </row>
    <row r="40" spans="12:21" x14ac:dyDescent="0.2">
      <c r="L40" s="129" t="str">
        <f t="shared" ref="L40:S40" si="38">$A$16</f>
        <v xml:space="preserve"> </v>
      </c>
      <c r="M40" s="129" t="str">
        <f t="shared" si="38"/>
        <v xml:space="preserve"> </v>
      </c>
      <c r="N40" s="129" t="str">
        <f t="shared" si="38"/>
        <v xml:space="preserve"> </v>
      </c>
      <c r="O40" s="196" t="str">
        <f t="shared" si="38"/>
        <v xml:space="preserve"> </v>
      </c>
      <c r="P40" s="129" t="str">
        <f t="shared" si="38"/>
        <v xml:space="preserve"> </v>
      </c>
      <c r="Q40" s="129" t="str">
        <f t="shared" si="38"/>
        <v xml:space="preserve"> </v>
      </c>
      <c r="R40" s="190" t="str">
        <f t="shared" si="38"/>
        <v xml:space="preserve"> </v>
      </c>
      <c r="S40" s="190" t="str">
        <f t="shared" si="38"/>
        <v xml:space="preserve"> </v>
      </c>
    </row>
    <row r="41" spans="12:21" x14ac:dyDescent="0.2">
      <c r="L41" s="129" t="str">
        <f t="shared" ref="L41:S41" si="39">$B$2</f>
        <v xml:space="preserve"> </v>
      </c>
      <c r="M41" s="129" t="str">
        <f t="shared" si="39"/>
        <v xml:space="preserve"> </v>
      </c>
      <c r="N41" s="129" t="str">
        <f t="shared" si="39"/>
        <v xml:space="preserve"> </v>
      </c>
      <c r="O41" s="196" t="str">
        <f t="shared" si="39"/>
        <v xml:space="preserve"> </v>
      </c>
      <c r="P41" s="129" t="str">
        <f t="shared" si="39"/>
        <v xml:space="preserve"> </v>
      </c>
      <c r="Q41" s="129" t="str">
        <f t="shared" si="39"/>
        <v xml:space="preserve"> </v>
      </c>
      <c r="R41" s="190" t="str">
        <f t="shared" si="39"/>
        <v xml:space="preserve"> </v>
      </c>
      <c r="S41" s="190" t="str">
        <f t="shared" si="39"/>
        <v xml:space="preserve"> </v>
      </c>
    </row>
    <row r="42" spans="12:21" x14ac:dyDescent="0.2">
      <c r="L42" s="129" t="str">
        <f t="shared" ref="L42:S42" si="40">$B$3</f>
        <v xml:space="preserve"> </v>
      </c>
      <c r="M42" s="129" t="str">
        <f t="shared" si="40"/>
        <v xml:space="preserve"> </v>
      </c>
      <c r="N42" s="129" t="str">
        <f t="shared" si="40"/>
        <v xml:space="preserve"> </v>
      </c>
      <c r="O42" s="196" t="str">
        <f t="shared" si="40"/>
        <v xml:space="preserve"> </v>
      </c>
      <c r="P42" s="129" t="str">
        <f t="shared" si="40"/>
        <v xml:space="preserve"> </v>
      </c>
      <c r="Q42" s="129" t="str">
        <f t="shared" si="40"/>
        <v xml:space="preserve"> </v>
      </c>
      <c r="R42" s="190" t="str">
        <f t="shared" si="40"/>
        <v xml:space="preserve"> </v>
      </c>
      <c r="S42" s="190" t="str">
        <f t="shared" si="40"/>
        <v xml:space="preserve"> </v>
      </c>
    </row>
    <row r="43" spans="12:21" x14ac:dyDescent="0.2">
      <c r="L43" s="129" t="str">
        <f t="shared" ref="L43:S43" si="41">$B$4</f>
        <v xml:space="preserve"> </v>
      </c>
      <c r="M43" s="129" t="str">
        <f t="shared" si="41"/>
        <v xml:space="preserve"> </v>
      </c>
      <c r="N43" s="129" t="str">
        <f t="shared" si="41"/>
        <v xml:space="preserve"> </v>
      </c>
      <c r="O43" s="196" t="str">
        <f t="shared" si="41"/>
        <v xml:space="preserve"> </v>
      </c>
      <c r="P43" s="129" t="str">
        <f t="shared" si="41"/>
        <v xml:space="preserve"> </v>
      </c>
      <c r="Q43" s="129" t="str">
        <f t="shared" si="41"/>
        <v xml:space="preserve"> </v>
      </c>
      <c r="R43" s="190" t="str">
        <f t="shared" si="41"/>
        <v xml:space="preserve"> </v>
      </c>
      <c r="S43" s="190" t="str">
        <f t="shared" si="41"/>
        <v xml:space="preserve"> </v>
      </c>
    </row>
    <row r="44" spans="12:21" x14ac:dyDescent="0.2">
      <c r="L44" s="129" t="str">
        <f t="shared" ref="L44:S44" si="42">$B$5</f>
        <v xml:space="preserve"> </v>
      </c>
      <c r="M44" s="129" t="str">
        <f t="shared" si="42"/>
        <v xml:space="preserve"> </v>
      </c>
      <c r="N44" s="129" t="str">
        <f t="shared" si="42"/>
        <v xml:space="preserve"> </v>
      </c>
      <c r="O44" s="196" t="str">
        <f t="shared" si="42"/>
        <v xml:space="preserve"> </v>
      </c>
      <c r="P44" s="129" t="str">
        <f t="shared" si="42"/>
        <v xml:space="preserve"> </v>
      </c>
      <c r="Q44" s="129" t="str">
        <f t="shared" si="42"/>
        <v xml:space="preserve"> </v>
      </c>
      <c r="R44" s="190" t="str">
        <f t="shared" si="42"/>
        <v xml:space="preserve"> </v>
      </c>
      <c r="S44" s="190" t="str">
        <f t="shared" si="42"/>
        <v xml:space="preserve"> </v>
      </c>
    </row>
    <row r="45" spans="12:21" x14ac:dyDescent="0.2">
      <c r="L45" s="131" t="str">
        <f t="shared" ref="L45:S45" si="43">$B$6</f>
        <v xml:space="preserve"> </v>
      </c>
      <c r="M45" s="131" t="str">
        <f t="shared" si="43"/>
        <v xml:space="preserve"> </v>
      </c>
      <c r="N45" s="131" t="str">
        <f t="shared" si="43"/>
        <v xml:space="preserve"> </v>
      </c>
      <c r="O45" s="197" t="str">
        <f t="shared" si="43"/>
        <v xml:space="preserve"> </v>
      </c>
      <c r="P45" s="131" t="str">
        <f t="shared" si="43"/>
        <v xml:space="preserve"> </v>
      </c>
      <c r="Q45" s="131" t="str">
        <f t="shared" si="43"/>
        <v xml:space="preserve"> </v>
      </c>
      <c r="R45" s="191" t="str">
        <f t="shared" si="43"/>
        <v xml:space="preserve"> </v>
      </c>
      <c r="S45" s="191" t="str">
        <f t="shared" si="43"/>
        <v xml:space="preserve"> </v>
      </c>
    </row>
    <row r="48" spans="12:21" x14ac:dyDescent="0.2">
      <c r="L48" s="123" t="s">
        <v>275</v>
      </c>
      <c r="M48" s="124" t="s">
        <v>276</v>
      </c>
      <c r="N48" s="124" t="s">
        <v>277</v>
      </c>
      <c r="O48" s="124" t="s">
        <v>306</v>
      </c>
      <c r="P48" s="124" t="s">
        <v>307</v>
      </c>
      <c r="Q48" s="194" t="s">
        <v>309</v>
      </c>
      <c r="R48" s="186" t="s">
        <v>343</v>
      </c>
      <c r="S48" s="188" t="s">
        <v>344</v>
      </c>
      <c r="T48" s="189" t="s">
        <v>348</v>
      </c>
      <c r="U48" s="350" t="s">
        <v>398</v>
      </c>
    </row>
    <row r="49" spans="12:21" x14ac:dyDescent="0.2">
      <c r="L49" s="129">
        <f>A2</f>
        <v>0</v>
      </c>
      <c r="M49" s="1">
        <f t="shared" ref="M49:M63" si="44">A2</f>
        <v>0</v>
      </c>
      <c r="N49" s="1">
        <f>A2</f>
        <v>0</v>
      </c>
      <c r="O49" s="1">
        <f>D3</f>
        <v>0</v>
      </c>
      <c r="P49" s="1">
        <f>D3</f>
        <v>0</v>
      </c>
      <c r="Q49" s="199">
        <f>E3</f>
        <v>0</v>
      </c>
      <c r="R49" s="1">
        <f>F3</f>
        <v>0</v>
      </c>
      <c r="S49" s="1">
        <f>F3</f>
        <v>0</v>
      </c>
      <c r="T49" s="190">
        <f>F3</f>
        <v>0</v>
      </c>
      <c r="U49">
        <f>A2</f>
        <v>0</v>
      </c>
    </row>
    <row r="50" spans="12:21" x14ac:dyDescent="0.2">
      <c r="L50" s="129" t="str">
        <f>B2</f>
        <v xml:space="preserve"> </v>
      </c>
      <c r="M50" s="1" t="str">
        <f t="shared" si="44"/>
        <v xml:space="preserve"> </v>
      </c>
      <c r="N50" s="1" t="str">
        <f t="shared" ref="N50:N63" si="45">A3</f>
        <v xml:space="preserve"> </v>
      </c>
      <c r="O50" s="129" t="str">
        <f t="shared" ref="O50:T50" si="46">$A$3</f>
        <v xml:space="preserve"> </v>
      </c>
      <c r="P50" s="129" t="str">
        <f t="shared" si="46"/>
        <v xml:space="preserve"> </v>
      </c>
      <c r="Q50" s="196" t="str">
        <f t="shared" si="46"/>
        <v xml:space="preserve"> </v>
      </c>
      <c r="R50" s="129" t="str">
        <f t="shared" si="46"/>
        <v xml:space="preserve"> </v>
      </c>
      <c r="S50" s="129" t="str">
        <f t="shared" si="46"/>
        <v xml:space="preserve"> </v>
      </c>
      <c r="T50" s="190" t="str">
        <f t="shared" si="46"/>
        <v xml:space="preserve"> </v>
      </c>
      <c r="U50" t="str">
        <f t="shared" ref="U50:U68" si="47">A3</f>
        <v xml:space="preserve"> </v>
      </c>
    </row>
    <row r="51" spans="12:21" x14ac:dyDescent="0.2">
      <c r="L51" s="129" t="str">
        <f t="shared" ref="L51:L54" si="48">B3</f>
        <v xml:space="preserve"> </v>
      </c>
      <c r="M51" s="1" t="str">
        <f t="shared" si="44"/>
        <v xml:space="preserve"> </v>
      </c>
      <c r="N51" s="1" t="str">
        <f t="shared" si="45"/>
        <v xml:space="preserve"> </v>
      </c>
      <c r="O51" s="129" t="str">
        <f t="shared" ref="O51:T51" si="49">$A$4</f>
        <v xml:space="preserve"> </v>
      </c>
      <c r="P51" s="129" t="str">
        <f t="shared" si="49"/>
        <v xml:space="preserve"> </v>
      </c>
      <c r="Q51" s="196" t="str">
        <f t="shared" si="49"/>
        <v xml:space="preserve"> </v>
      </c>
      <c r="R51" s="129" t="str">
        <f t="shared" si="49"/>
        <v xml:space="preserve"> </v>
      </c>
      <c r="S51" s="129" t="str">
        <f t="shared" si="49"/>
        <v xml:space="preserve"> </v>
      </c>
      <c r="T51" s="190" t="str">
        <f t="shared" si="49"/>
        <v xml:space="preserve"> </v>
      </c>
      <c r="U51" t="str">
        <f t="shared" si="47"/>
        <v xml:space="preserve"> </v>
      </c>
    </row>
    <row r="52" spans="12:21" x14ac:dyDescent="0.2">
      <c r="L52" s="129" t="str">
        <f t="shared" si="48"/>
        <v xml:space="preserve"> </v>
      </c>
      <c r="M52" s="1" t="str">
        <f t="shared" si="44"/>
        <v xml:space="preserve"> </v>
      </c>
      <c r="N52" s="1" t="str">
        <f t="shared" si="45"/>
        <v xml:space="preserve"> </v>
      </c>
      <c r="O52" s="129" t="str">
        <f t="shared" ref="O52:T52" si="50">$A$5</f>
        <v xml:space="preserve"> </v>
      </c>
      <c r="P52" s="129" t="str">
        <f t="shared" si="50"/>
        <v xml:space="preserve"> </v>
      </c>
      <c r="Q52" s="196" t="str">
        <f t="shared" si="50"/>
        <v xml:space="preserve"> </v>
      </c>
      <c r="R52" s="129" t="str">
        <f t="shared" si="50"/>
        <v xml:space="preserve"> </v>
      </c>
      <c r="S52" s="129" t="str">
        <f t="shared" si="50"/>
        <v xml:space="preserve"> </v>
      </c>
      <c r="T52" s="190" t="str">
        <f t="shared" si="50"/>
        <v xml:space="preserve"> </v>
      </c>
      <c r="U52" t="str">
        <f t="shared" si="47"/>
        <v xml:space="preserve"> </v>
      </c>
    </row>
    <row r="53" spans="12:21" x14ac:dyDescent="0.2">
      <c r="L53" s="129" t="str">
        <f t="shared" si="48"/>
        <v xml:space="preserve"> </v>
      </c>
      <c r="M53" s="1" t="str">
        <f t="shared" si="44"/>
        <v xml:space="preserve"> </v>
      </c>
      <c r="N53" s="1" t="str">
        <f t="shared" si="45"/>
        <v xml:space="preserve"> </v>
      </c>
      <c r="O53" s="129" t="str">
        <f t="shared" ref="O53:T53" si="51">$A$6</f>
        <v xml:space="preserve"> </v>
      </c>
      <c r="P53" s="129" t="str">
        <f t="shared" si="51"/>
        <v xml:space="preserve"> </v>
      </c>
      <c r="Q53" s="196" t="str">
        <f t="shared" si="51"/>
        <v xml:space="preserve"> </v>
      </c>
      <c r="R53" s="129" t="str">
        <f t="shared" si="51"/>
        <v xml:space="preserve"> </v>
      </c>
      <c r="S53" s="129" t="str">
        <f t="shared" si="51"/>
        <v xml:space="preserve"> </v>
      </c>
      <c r="T53" s="190" t="str">
        <f t="shared" si="51"/>
        <v xml:space="preserve"> </v>
      </c>
      <c r="U53" t="str">
        <f t="shared" si="47"/>
        <v xml:space="preserve"> </v>
      </c>
    </row>
    <row r="54" spans="12:21" x14ac:dyDescent="0.2">
      <c r="L54" s="129" t="str">
        <f t="shared" si="48"/>
        <v xml:space="preserve"> </v>
      </c>
      <c r="M54" s="1" t="str">
        <f t="shared" si="44"/>
        <v xml:space="preserve"> </v>
      </c>
      <c r="N54" s="1" t="str">
        <f t="shared" si="45"/>
        <v xml:space="preserve"> </v>
      </c>
      <c r="O54" s="129" t="str">
        <f t="shared" ref="O54:T54" si="52">$A$7</f>
        <v xml:space="preserve"> </v>
      </c>
      <c r="P54" s="129" t="str">
        <f t="shared" si="52"/>
        <v xml:space="preserve"> </v>
      </c>
      <c r="Q54" s="196" t="str">
        <f t="shared" si="52"/>
        <v xml:space="preserve"> </v>
      </c>
      <c r="R54" s="129" t="str">
        <f t="shared" si="52"/>
        <v xml:space="preserve"> </v>
      </c>
      <c r="S54" s="129" t="str">
        <f t="shared" si="52"/>
        <v xml:space="preserve"> </v>
      </c>
      <c r="T54" s="190" t="str">
        <f t="shared" si="52"/>
        <v xml:space="preserve"> </v>
      </c>
      <c r="U54" t="str">
        <f t="shared" si="47"/>
        <v xml:space="preserve"> </v>
      </c>
    </row>
    <row r="55" spans="12:21" x14ac:dyDescent="0.2">
      <c r="L55" s="129"/>
      <c r="M55" s="1" t="str">
        <f t="shared" si="44"/>
        <v xml:space="preserve"> </v>
      </c>
      <c r="N55" s="1" t="str">
        <f t="shared" si="45"/>
        <v xml:space="preserve"> </v>
      </c>
      <c r="O55" s="129" t="str">
        <f t="shared" ref="O55:T55" si="53">$A$8</f>
        <v xml:space="preserve"> </v>
      </c>
      <c r="P55" s="129" t="str">
        <f t="shared" si="53"/>
        <v xml:space="preserve"> </v>
      </c>
      <c r="Q55" s="196" t="str">
        <f t="shared" si="53"/>
        <v xml:space="preserve"> </v>
      </c>
      <c r="R55" s="129" t="str">
        <f t="shared" si="53"/>
        <v xml:space="preserve"> </v>
      </c>
      <c r="S55" s="129" t="str">
        <f t="shared" si="53"/>
        <v xml:space="preserve"> </v>
      </c>
      <c r="T55" s="190" t="str">
        <f t="shared" si="53"/>
        <v xml:space="preserve"> </v>
      </c>
      <c r="U55" t="str">
        <f t="shared" si="47"/>
        <v xml:space="preserve"> </v>
      </c>
    </row>
    <row r="56" spans="12:21" x14ac:dyDescent="0.2">
      <c r="L56" s="129"/>
      <c r="M56" s="1" t="str">
        <f t="shared" si="44"/>
        <v xml:space="preserve"> </v>
      </c>
      <c r="N56" s="1" t="str">
        <f t="shared" si="45"/>
        <v xml:space="preserve"> </v>
      </c>
      <c r="O56" s="129" t="str">
        <f t="shared" ref="O56:T56" si="54">$A$9</f>
        <v xml:space="preserve"> </v>
      </c>
      <c r="P56" s="129" t="str">
        <f t="shared" si="54"/>
        <v xml:space="preserve"> </v>
      </c>
      <c r="Q56" s="196" t="str">
        <f t="shared" si="54"/>
        <v xml:space="preserve"> </v>
      </c>
      <c r="R56" s="129" t="str">
        <f t="shared" si="54"/>
        <v xml:space="preserve"> </v>
      </c>
      <c r="S56" s="129" t="str">
        <f t="shared" si="54"/>
        <v xml:space="preserve"> </v>
      </c>
      <c r="T56" s="190" t="str">
        <f t="shared" si="54"/>
        <v xml:space="preserve"> </v>
      </c>
      <c r="U56" t="str">
        <f t="shared" si="47"/>
        <v xml:space="preserve"> </v>
      </c>
    </row>
    <row r="57" spans="12:21" x14ac:dyDescent="0.2">
      <c r="L57" s="129"/>
      <c r="M57" s="1" t="str">
        <f t="shared" si="44"/>
        <v xml:space="preserve"> </v>
      </c>
      <c r="N57" s="1" t="str">
        <f t="shared" si="45"/>
        <v xml:space="preserve"> </v>
      </c>
      <c r="O57" s="129" t="str">
        <f t="shared" ref="O57:T57" si="55">$A$10</f>
        <v xml:space="preserve"> </v>
      </c>
      <c r="P57" s="129" t="str">
        <f t="shared" si="55"/>
        <v xml:space="preserve"> </v>
      </c>
      <c r="Q57" s="196" t="str">
        <f t="shared" si="55"/>
        <v xml:space="preserve"> </v>
      </c>
      <c r="R57" s="129" t="str">
        <f t="shared" si="55"/>
        <v xml:space="preserve"> </v>
      </c>
      <c r="S57" s="129" t="str">
        <f t="shared" si="55"/>
        <v xml:space="preserve"> </v>
      </c>
      <c r="T57" s="190" t="str">
        <f t="shared" si="55"/>
        <v xml:space="preserve"> </v>
      </c>
      <c r="U57" t="str">
        <f t="shared" si="47"/>
        <v xml:space="preserve"> </v>
      </c>
    </row>
    <row r="58" spans="12:21" x14ac:dyDescent="0.2">
      <c r="L58" s="129"/>
      <c r="M58" s="1" t="str">
        <f t="shared" si="44"/>
        <v xml:space="preserve"> </v>
      </c>
      <c r="N58" s="1" t="str">
        <f t="shared" si="45"/>
        <v xml:space="preserve"> </v>
      </c>
      <c r="O58" s="129" t="str">
        <f t="shared" ref="O58:T58" si="56">$A$11</f>
        <v xml:space="preserve"> </v>
      </c>
      <c r="P58" s="129" t="str">
        <f t="shared" si="56"/>
        <v xml:space="preserve"> </v>
      </c>
      <c r="Q58" s="196" t="str">
        <f t="shared" si="56"/>
        <v xml:space="preserve"> </v>
      </c>
      <c r="R58" s="129" t="str">
        <f t="shared" si="56"/>
        <v xml:space="preserve"> </v>
      </c>
      <c r="S58" s="129" t="str">
        <f t="shared" si="56"/>
        <v xml:space="preserve"> </v>
      </c>
      <c r="T58" s="190" t="str">
        <f t="shared" si="56"/>
        <v xml:space="preserve"> </v>
      </c>
      <c r="U58" t="str">
        <f t="shared" si="47"/>
        <v xml:space="preserve"> </v>
      </c>
    </row>
    <row r="59" spans="12:21" x14ac:dyDescent="0.2">
      <c r="L59" s="129"/>
      <c r="M59" s="1" t="str">
        <f t="shared" si="44"/>
        <v xml:space="preserve"> </v>
      </c>
      <c r="N59" s="1" t="str">
        <f t="shared" si="45"/>
        <v xml:space="preserve"> </v>
      </c>
      <c r="O59" s="129" t="str">
        <f t="shared" ref="O59:T59" si="57">$A$12</f>
        <v xml:space="preserve"> </v>
      </c>
      <c r="P59" s="129" t="str">
        <f t="shared" si="57"/>
        <v xml:space="preserve"> </v>
      </c>
      <c r="Q59" s="196" t="str">
        <f t="shared" si="57"/>
        <v xml:space="preserve"> </v>
      </c>
      <c r="R59" s="129" t="str">
        <f t="shared" si="57"/>
        <v xml:space="preserve"> </v>
      </c>
      <c r="S59" s="129" t="str">
        <f t="shared" si="57"/>
        <v xml:space="preserve"> </v>
      </c>
      <c r="T59" s="190" t="str">
        <f t="shared" si="57"/>
        <v xml:space="preserve"> </v>
      </c>
      <c r="U59" t="str">
        <f t="shared" si="47"/>
        <v xml:space="preserve"> </v>
      </c>
    </row>
    <row r="60" spans="12:21" x14ac:dyDescent="0.2">
      <c r="L60" s="129"/>
      <c r="M60" s="1" t="str">
        <f t="shared" si="44"/>
        <v xml:space="preserve"> </v>
      </c>
      <c r="N60" s="1" t="str">
        <f t="shared" si="45"/>
        <v xml:space="preserve"> </v>
      </c>
      <c r="O60" s="129" t="str">
        <f t="shared" ref="O60:T60" si="58">$A$13</f>
        <v xml:space="preserve"> </v>
      </c>
      <c r="P60" s="129" t="str">
        <f t="shared" si="58"/>
        <v xml:space="preserve"> </v>
      </c>
      <c r="Q60" s="196" t="str">
        <f t="shared" si="58"/>
        <v xml:space="preserve"> </v>
      </c>
      <c r="R60" s="129" t="str">
        <f t="shared" si="58"/>
        <v xml:space="preserve"> </v>
      </c>
      <c r="S60" s="129" t="str">
        <f t="shared" si="58"/>
        <v xml:space="preserve"> </v>
      </c>
      <c r="T60" s="190" t="str">
        <f t="shared" si="58"/>
        <v xml:space="preserve"> </v>
      </c>
      <c r="U60" t="str">
        <f t="shared" si="47"/>
        <v xml:space="preserve"> </v>
      </c>
    </row>
    <row r="61" spans="12:21" x14ac:dyDescent="0.2">
      <c r="L61" s="129"/>
      <c r="M61" s="1" t="str">
        <f t="shared" si="44"/>
        <v xml:space="preserve"> </v>
      </c>
      <c r="N61" s="1" t="str">
        <f t="shared" si="45"/>
        <v xml:space="preserve"> </v>
      </c>
      <c r="O61" s="129" t="str">
        <f t="shared" ref="O61:T61" si="59">$A$14</f>
        <v xml:space="preserve"> </v>
      </c>
      <c r="P61" s="129" t="str">
        <f t="shared" si="59"/>
        <v xml:space="preserve"> </v>
      </c>
      <c r="Q61" s="196" t="str">
        <f t="shared" si="59"/>
        <v xml:space="preserve"> </v>
      </c>
      <c r="R61" s="129" t="str">
        <f t="shared" si="59"/>
        <v xml:space="preserve"> </v>
      </c>
      <c r="S61" s="129" t="str">
        <f t="shared" si="59"/>
        <v xml:space="preserve"> </v>
      </c>
      <c r="T61" s="190" t="str">
        <f t="shared" si="59"/>
        <v xml:space="preserve"> </v>
      </c>
      <c r="U61" t="str">
        <f t="shared" si="47"/>
        <v xml:space="preserve"> </v>
      </c>
    </row>
    <row r="62" spans="12:21" x14ac:dyDescent="0.2">
      <c r="L62" s="129"/>
      <c r="M62" s="1" t="str">
        <f t="shared" si="44"/>
        <v xml:space="preserve"> </v>
      </c>
      <c r="N62" s="1" t="str">
        <f t="shared" si="45"/>
        <v xml:space="preserve"> </v>
      </c>
      <c r="O62" s="129" t="str">
        <f t="shared" ref="O62:T62" si="60">$A$15</f>
        <v xml:space="preserve"> </v>
      </c>
      <c r="P62" s="129" t="str">
        <f t="shared" si="60"/>
        <v xml:space="preserve"> </v>
      </c>
      <c r="Q62" s="196" t="str">
        <f t="shared" si="60"/>
        <v xml:space="preserve"> </v>
      </c>
      <c r="R62" s="129" t="str">
        <f t="shared" si="60"/>
        <v xml:space="preserve"> </v>
      </c>
      <c r="S62" s="129" t="str">
        <f t="shared" si="60"/>
        <v xml:space="preserve"> </v>
      </c>
      <c r="T62" s="190" t="str">
        <f t="shared" si="60"/>
        <v xml:space="preserve"> </v>
      </c>
      <c r="U62" t="str">
        <f t="shared" si="47"/>
        <v xml:space="preserve"> </v>
      </c>
    </row>
    <row r="63" spans="12:21" x14ac:dyDescent="0.2">
      <c r="L63" s="129"/>
      <c r="M63" s="1" t="str">
        <f t="shared" si="44"/>
        <v xml:space="preserve"> </v>
      </c>
      <c r="N63" s="1" t="str">
        <f t="shared" si="45"/>
        <v xml:space="preserve"> </v>
      </c>
      <c r="O63" s="129" t="str">
        <f t="shared" ref="O63:T63" si="61">$A$16</f>
        <v xml:space="preserve"> </v>
      </c>
      <c r="P63" s="129" t="str">
        <f t="shared" si="61"/>
        <v xml:space="preserve"> </v>
      </c>
      <c r="Q63" s="196" t="str">
        <f t="shared" si="61"/>
        <v xml:space="preserve"> </v>
      </c>
      <c r="R63" s="129" t="str">
        <f t="shared" si="61"/>
        <v xml:space="preserve"> </v>
      </c>
      <c r="S63" s="129" t="str">
        <f t="shared" si="61"/>
        <v xml:space="preserve"> </v>
      </c>
      <c r="T63" s="190" t="str">
        <f t="shared" si="61"/>
        <v xml:space="preserve"> </v>
      </c>
      <c r="U63" t="str">
        <f t="shared" si="47"/>
        <v xml:space="preserve"> </v>
      </c>
    </row>
    <row r="64" spans="12:21" x14ac:dyDescent="0.2">
      <c r="L64" s="129"/>
      <c r="M64" s="1" t="str">
        <f>B2</f>
        <v xml:space="preserve"> </v>
      </c>
      <c r="N64" s="1" t="str">
        <f>B2</f>
        <v xml:space="preserve"> </v>
      </c>
      <c r="O64" s="129" t="str">
        <f t="shared" ref="O64:T64" si="62">$B$2</f>
        <v xml:space="preserve"> </v>
      </c>
      <c r="P64" s="129" t="str">
        <f t="shared" si="62"/>
        <v xml:space="preserve"> </v>
      </c>
      <c r="Q64" s="196" t="str">
        <f t="shared" si="62"/>
        <v xml:space="preserve"> </v>
      </c>
      <c r="R64" s="129" t="str">
        <f t="shared" si="62"/>
        <v xml:space="preserve"> </v>
      </c>
      <c r="S64" s="129" t="str">
        <f t="shared" si="62"/>
        <v xml:space="preserve"> </v>
      </c>
      <c r="T64" s="190" t="str">
        <f t="shared" si="62"/>
        <v xml:space="preserve"> </v>
      </c>
      <c r="U64">
        <f t="shared" si="47"/>
        <v>0</v>
      </c>
    </row>
    <row r="65" spans="12:21" x14ac:dyDescent="0.2">
      <c r="L65" s="129"/>
      <c r="M65" s="1" t="str">
        <f t="shared" ref="M65:M68" si="63">B3</f>
        <v xml:space="preserve"> </v>
      </c>
      <c r="N65" s="1" t="str">
        <f t="shared" ref="N65:N68" si="64">B3</f>
        <v xml:space="preserve"> </v>
      </c>
      <c r="O65" s="129" t="str">
        <f t="shared" ref="O65:T65" si="65">$B$3</f>
        <v xml:space="preserve"> </v>
      </c>
      <c r="P65" s="129" t="str">
        <f t="shared" si="65"/>
        <v xml:space="preserve"> </v>
      </c>
      <c r="Q65" s="196" t="str">
        <f t="shared" si="65"/>
        <v xml:space="preserve"> </v>
      </c>
      <c r="R65" s="129" t="str">
        <f t="shared" si="65"/>
        <v xml:space="preserve"> </v>
      </c>
      <c r="S65" s="129" t="str">
        <f t="shared" si="65"/>
        <v xml:space="preserve"> </v>
      </c>
      <c r="T65" s="190" t="str">
        <f t="shared" si="65"/>
        <v xml:space="preserve"> </v>
      </c>
      <c r="U65">
        <f t="shared" si="47"/>
        <v>0</v>
      </c>
    </row>
    <row r="66" spans="12:21" x14ac:dyDescent="0.2">
      <c r="L66" s="129"/>
      <c r="M66" s="1" t="str">
        <f t="shared" si="63"/>
        <v xml:space="preserve"> </v>
      </c>
      <c r="N66" s="1" t="str">
        <f t="shared" si="64"/>
        <v xml:space="preserve"> </v>
      </c>
      <c r="O66" s="129" t="str">
        <f t="shared" ref="O66:T66" si="66">$B$4</f>
        <v xml:space="preserve"> </v>
      </c>
      <c r="P66" s="129" t="str">
        <f t="shared" si="66"/>
        <v xml:space="preserve"> </v>
      </c>
      <c r="Q66" s="196" t="str">
        <f t="shared" si="66"/>
        <v xml:space="preserve"> </v>
      </c>
      <c r="R66" s="129" t="str">
        <f t="shared" si="66"/>
        <v xml:space="preserve"> </v>
      </c>
      <c r="S66" s="129" t="str">
        <f t="shared" si="66"/>
        <v xml:space="preserve"> </v>
      </c>
      <c r="T66" s="190" t="str">
        <f t="shared" si="66"/>
        <v xml:space="preserve"> </v>
      </c>
      <c r="U66">
        <f t="shared" si="47"/>
        <v>0</v>
      </c>
    </row>
    <row r="67" spans="12:21" x14ac:dyDescent="0.2">
      <c r="L67" s="129"/>
      <c r="M67" s="1" t="str">
        <f t="shared" si="63"/>
        <v xml:space="preserve"> </v>
      </c>
      <c r="N67" s="1" t="str">
        <f t="shared" si="64"/>
        <v xml:space="preserve"> </v>
      </c>
      <c r="O67" s="129" t="str">
        <f t="shared" ref="O67:T67" si="67">$B$5</f>
        <v xml:space="preserve"> </v>
      </c>
      <c r="P67" s="129" t="str">
        <f t="shared" si="67"/>
        <v xml:space="preserve"> </v>
      </c>
      <c r="Q67" s="196" t="str">
        <f t="shared" si="67"/>
        <v xml:space="preserve"> </v>
      </c>
      <c r="R67" s="129" t="str">
        <f t="shared" si="67"/>
        <v xml:space="preserve"> </v>
      </c>
      <c r="S67" s="129" t="str">
        <f t="shared" si="67"/>
        <v xml:space="preserve"> </v>
      </c>
      <c r="T67" s="190" t="str">
        <f t="shared" si="67"/>
        <v xml:space="preserve"> </v>
      </c>
      <c r="U67">
        <f t="shared" si="47"/>
        <v>0</v>
      </c>
    </row>
    <row r="68" spans="12:21" x14ac:dyDescent="0.2">
      <c r="L68" s="131"/>
      <c r="M68" s="132" t="str">
        <f t="shared" si="63"/>
        <v xml:space="preserve"> </v>
      </c>
      <c r="N68" s="132" t="str">
        <f t="shared" si="64"/>
        <v xml:space="preserve"> </v>
      </c>
      <c r="O68" s="131" t="str">
        <f t="shared" ref="O68:T68" si="68">$B$6</f>
        <v xml:space="preserve"> </v>
      </c>
      <c r="P68" s="131" t="str">
        <f t="shared" si="68"/>
        <v xml:space="preserve"> </v>
      </c>
      <c r="Q68" s="197" t="str">
        <f t="shared" si="68"/>
        <v xml:space="preserve"> </v>
      </c>
      <c r="R68" s="131" t="str">
        <f t="shared" si="68"/>
        <v xml:space="preserve"> </v>
      </c>
      <c r="S68" s="131" t="str">
        <f t="shared" si="68"/>
        <v xml:space="preserve"> </v>
      </c>
      <c r="T68" s="191" t="str">
        <f t="shared" si="68"/>
        <v xml:space="preserve"> </v>
      </c>
      <c r="U68">
        <f t="shared" si="47"/>
        <v>0</v>
      </c>
    </row>
  </sheetData>
  <mergeCells count="3">
    <mergeCell ref="D1:F1"/>
    <mergeCell ref="H1:J1"/>
    <mergeCell ref="L1:P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107"/>
  <sheetViews>
    <sheetView workbookViewId="0">
      <selection activeCell="H2" sqref="H2:H5"/>
    </sheetView>
  </sheetViews>
  <sheetFormatPr defaultRowHeight="14.25" customHeight="1" x14ac:dyDescent="0.2"/>
  <cols>
    <col min="1" max="1" width="66.42578125" customWidth="1"/>
    <col min="2" max="2" width="19.85546875" customWidth="1"/>
    <col min="7" max="7" width="14.140625" customWidth="1"/>
    <col min="8" max="8" width="12.85546875" customWidth="1"/>
  </cols>
  <sheetData>
    <row r="1" spans="1:14" ht="14.25" customHeight="1" x14ac:dyDescent="0.2">
      <c r="A1" t="s">
        <v>38</v>
      </c>
      <c r="B1" t="s">
        <v>145</v>
      </c>
    </row>
    <row r="2" spans="1:14" ht="14.25" customHeight="1" x14ac:dyDescent="0.25">
      <c r="A2" t="s">
        <v>39</v>
      </c>
      <c r="B2" t="s">
        <v>39</v>
      </c>
      <c r="F2" s="134"/>
      <c r="G2" s="135" t="s">
        <v>278</v>
      </c>
      <c r="H2" s="135" t="s">
        <v>282</v>
      </c>
      <c r="I2" s="135" t="s">
        <v>285</v>
      </c>
      <c r="J2" s="135" t="s">
        <v>287</v>
      </c>
      <c r="K2" s="135" t="s">
        <v>290</v>
      </c>
      <c r="L2" s="135" t="s">
        <v>294</v>
      </c>
      <c r="M2" s="135" t="s">
        <v>296</v>
      </c>
      <c r="N2" s="135" t="s">
        <v>300</v>
      </c>
    </row>
    <row r="3" spans="1:14" ht="14.25" customHeight="1" x14ac:dyDescent="0.25">
      <c r="A3" t="s">
        <v>40</v>
      </c>
      <c r="B3" t="s">
        <v>146</v>
      </c>
      <c r="F3" s="134"/>
      <c r="G3" s="135" t="s">
        <v>279</v>
      </c>
      <c r="H3" s="135" t="s">
        <v>283</v>
      </c>
      <c r="I3" s="135" t="s">
        <v>286</v>
      </c>
      <c r="J3" s="135" t="s">
        <v>288</v>
      </c>
      <c r="K3" s="135" t="s">
        <v>291</v>
      </c>
      <c r="L3" s="135" t="s">
        <v>295</v>
      </c>
      <c r="M3" s="135" t="s">
        <v>297</v>
      </c>
      <c r="N3" s="135" t="s">
        <v>301</v>
      </c>
    </row>
    <row r="4" spans="1:14" ht="14.25" customHeight="1" x14ac:dyDescent="0.25">
      <c r="A4" t="s">
        <v>41</v>
      </c>
      <c r="B4" t="s">
        <v>147</v>
      </c>
      <c r="F4" s="134"/>
      <c r="G4" s="135" t="s">
        <v>280</v>
      </c>
      <c r="H4" s="135" t="s">
        <v>284</v>
      </c>
      <c r="J4" s="135" t="s">
        <v>289</v>
      </c>
      <c r="K4" s="135" t="s">
        <v>292</v>
      </c>
      <c r="M4" s="135" t="s">
        <v>298</v>
      </c>
      <c r="N4" s="135" t="s">
        <v>302</v>
      </c>
    </row>
    <row r="5" spans="1:14" ht="14.25" customHeight="1" x14ac:dyDescent="0.25">
      <c r="A5" t="s">
        <v>42</v>
      </c>
      <c r="B5" t="s">
        <v>148</v>
      </c>
      <c r="F5" s="134"/>
      <c r="G5" s="135" t="s">
        <v>281</v>
      </c>
      <c r="H5" s="135" t="s">
        <v>263</v>
      </c>
      <c r="K5" s="135" t="s">
        <v>293</v>
      </c>
      <c r="M5" s="135" t="s">
        <v>299</v>
      </c>
      <c r="N5" s="135" t="s">
        <v>303</v>
      </c>
    </row>
    <row r="6" spans="1:14" ht="14.25" customHeight="1" x14ac:dyDescent="0.2">
      <c r="A6" t="s">
        <v>43</v>
      </c>
      <c r="B6" t="s">
        <v>149</v>
      </c>
    </row>
    <row r="7" spans="1:14" ht="14.25" customHeight="1" x14ac:dyDescent="0.2">
      <c r="A7" t="s">
        <v>44</v>
      </c>
      <c r="B7" t="s">
        <v>150</v>
      </c>
    </row>
    <row r="8" spans="1:14" ht="14.25" customHeight="1" x14ac:dyDescent="0.2">
      <c r="A8" t="s">
        <v>45</v>
      </c>
      <c r="B8" t="s">
        <v>151</v>
      </c>
    </row>
    <row r="9" spans="1:14" ht="14.25" customHeight="1" x14ac:dyDescent="0.2">
      <c r="A9" t="s">
        <v>46</v>
      </c>
      <c r="B9" t="s">
        <v>152</v>
      </c>
    </row>
    <row r="10" spans="1:14" ht="14.25" customHeight="1" x14ac:dyDescent="0.2">
      <c r="A10" t="s">
        <v>47</v>
      </c>
      <c r="B10" t="s">
        <v>153</v>
      </c>
    </row>
    <row r="11" spans="1:14" ht="14.25" customHeight="1" x14ac:dyDescent="0.2">
      <c r="A11" t="s">
        <v>48</v>
      </c>
      <c r="B11" t="s">
        <v>154</v>
      </c>
    </row>
    <row r="12" spans="1:14" ht="14.25" customHeight="1" x14ac:dyDescent="0.2">
      <c r="A12" t="s">
        <v>49</v>
      </c>
      <c r="B12" t="s">
        <v>155</v>
      </c>
    </row>
    <row r="13" spans="1:14" ht="14.25" customHeight="1" x14ac:dyDescent="0.2">
      <c r="A13" t="s">
        <v>50</v>
      </c>
      <c r="B13" t="s">
        <v>156</v>
      </c>
    </row>
    <row r="14" spans="1:14" ht="14.25" customHeight="1" x14ac:dyDescent="0.2">
      <c r="A14" t="s">
        <v>51</v>
      </c>
      <c r="B14" t="s">
        <v>157</v>
      </c>
    </row>
    <row r="15" spans="1:14" ht="14.25" customHeight="1" x14ac:dyDescent="0.2">
      <c r="A15" t="s">
        <v>52</v>
      </c>
      <c r="B15" t="s">
        <v>158</v>
      </c>
    </row>
    <row r="16" spans="1:14" ht="14.25" customHeight="1" x14ac:dyDescent="0.2">
      <c r="A16" t="s">
        <v>53</v>
      </c>
      <c r="B16" t="s">
        <v>159</v>
      </c>
    </row>
    <row r="17" spans="1:2" ht="14.25" customHeight="1" x14ac:dyDescent="0.2">
      <c r="A17" t="s">
        <v>54</v>
      </c>
      <c r="B17" t="s">
        <v>160</v>
      </c>
    </row>
    <row r="18" spans="1:2" ht="14.25" customHeight="1" x14ac:dyDescent="0.2">
      <c r="A18" t="s">
        <v>55</v>
      </c>
      <c r="B18" t="s">
        <v>161</v>
      </c>
    </row>
    <row r="19" spans="1:2" ht="14.25" customHeight="1" x14ac:dyDescent="0.2">
      <c r="A19" t="s">
        <v>56</v>
      </c>
      <c r="B19" t="s">
        <v>162</v>
      </c>
    </row>
    <row r="20" spans="1:2" ht="14.25" customHeight="1" x14ac:dyDescent="0.2">
      <c r="A20" t="s">
        <v>57</v>
      </c>
      <c r="B20" t="s">
        <v>163</v>
      </c>
    </row>
    <row r="21" spans="1:2" ht="14.25" customHeight="1" x14ac:dyDescent="0.2">
      <c r="A21" t="s">
        <v>58</v>
      </c>
      <c r="B21" t="s">
        <v>164</v>
      </c>
    </row>
    <row r="22" spans="1:2" ht="14.25" customHeight="1" x14ac:dyDescent="0.2">
      <c r="A22" t="s">
        <v>59</v>
      </c>
      <c r="B22" t="s">
        <v>57</v>
      </c>
    </row>
    <row r="23" spans="1:2" ht="14.25" customHeight="1" x14ac:dyDescent="0.2">
      <c r="A23" t="s">
        <v>60</v>
      </c>
      <c r="B23" t="s">
        <v>165</v>
      </c>
    </row>
    <row r="24" spans="1:2" ht="14.25" customHeight="1" x14ac:dyDescent="0.2">
      <c r="A24" t="s">
        <v>61</v>
      </c>
      <c r="B24" t="s">
        <v>166</v>
      </c>
    </row>
    <row r="25" spans="1:2" ht="14.25" customHeight="1" x14ac:dyDescent="0.2">
      <c r="A25" t="s">
        <v>62</v>
      </c>
      <c r="B25" t="s">
        <v>167</v>
      </c>
    </row>
    <row r="26" spans="1:2" ht="14.25" customHeight="1" x14ac:dyDescent="0.2">
      <c r="A26" t="s">
        <v>63</v>
      </c>
      <c r="B26" t="s">
        <v>168</v>
      </c>
    </row>
    <row r="27" spans="1:2" ht="14.25" customHeight="1" x14ac:dyDescent="0.2">
      <c r="A27" t="s">
        <v>64</v>
      </c>
      <c r="B27" t="s">
        <v>169</v>
      </c>
    </row>
    <row r="28" spans="1:2" ht="14.25" customHeight="1" x14ac:dyDescent="0.2">
      <c r="A28" t="s">
        <v>65</v>
      </c>
      <c r="B28" t="s">
        <v>170</v>
      </c>
    </row>
    <row r="29" spans="1:2" ht="14.25" customHeight="1" x14ac:dyDescent="0.2">
      <c r="A29" t="s">
        <v>66</v>
      </c>
      <c r="B29" t="s">
        <v>171</v>
      </c>
    </row>
    <row r="30" spans="1:2" ht="14.25" customHeight="1" x14ac:dyDescent="0.2">
      <c r="A30" t="s">
        <v>67</v>
      </c>
      <c r="B30" t="s">
        <v>172</v>
      </c>
    </row>
    <row r="31" spans="1:2" ht="14.25" customHeight="1" x14ac:dyDescent="0.2">
      <c r="A31" t="s">
        <v>68</v>
      </c>
      <c r="B31" t="s">
        <v>173</v>
      </c>
    </row>
    <row r="32" spans="1:2" ht="14.25" customHeight="1" x14ac:dyDescent="0.2">
      <c r="A32" t="s">
        <v>69</v>
      </c>
      <c r="B32" t="s">
        <v>174</v>
      </c>
    </row>
    <row r="33" spans="1:2" ht="14.25" customHeight="1" x14ac:dyDescent="0.2">
      <c r="A33" t="s">
        <v>70</v>
      </c>
      <c r="B33" t="s">
        <v>175</v>
      </c>
    </row>
    <row r="34" spans="1:2" ht="14.25" customHeight="1" x14ac:dyDescent="0.2">
      <c r="A34" t="s">
        <v>71</v>
      </c>
      <c r="B34" t="s">
        <v>176</v>
      </c>
    </row>
    <row r="35" spans="1:2" ht="14.25" customHeight="1" x14ac:dyDescent="0.2">
      <c r="A35" t="s">
        <v>72</v>
      </c>
      <c r="B35" t="s">
        <v>177</v>
      </c>
    </row>
    <row r="36" spans="1:2" ht="14.25" customHeight="1" x14ac:dyDescent="0.2">
      <c r="A36" t="s">
        <v>73</v>
      </c>
      <c r="B36" t="s">
        <v>178</v>
      </c>
    </row>
    <row r="37" spans="1:2" ht="14.25" customHeight="1" x14ac:dyDescent="0.2">
      <c r="A37" t="s">
        <v>74</v>
      </c>
      <c r="B37" t="s">
        <v>179</v>
      </c>
    </row>
    <row r="38" spans="1:2" ht="14.25" customHeight="1" x14ac:dyDescent="0.2">
      <c r="A38" t="s">
        <v>75</v>
      </c>
      <c r="B38" t="s">
        <v>180</v>
      </c>
    </row>
    <row r="39" spans="1:2" ht="14.25" customHeight="1" x14ac:dyDescent="0.2">
      <c r="A39" t="s">
        <v>76</v>
      </c>
      <c r="B39" t="s">
        <v>181</v>
      </c>
    </row>
    <row r="40" spans="1:2" ht="14.25" customHeight="1" x14ac:dyDescent="0.2">
      <c r="A40" t="s">
        <v>77</v>
      </c>
      <c r="B40" t="s">
        <v>182</v>
      </c>
    </row>
    <row r="41" spans="1:2" ht="14.25" customHeight="1" x14ac:dyDescent="0.2">
      <c r="A41" t="s">
        <v>78</v>
      </c>
      <c r="B41" t="s">
        <v>183</v>
      </c>
    </row>
    <row r="42" spans="1:2" ht="14.25" customHeight="1" x14ac:dyDescent="0.2">
      <c r="A42" t="s">
        <v>79</v>
      </c>
      <c r="B42" t="s">
        <v>184</v>
      </c>
    </row>
    <row r="43" spans="1:2" ht="14.25" customHeight="1" x14ac:dyDescent="0.2">
      <c r="A43" t="s">
        <v>80</v>
      </c>
      <c r="B43" t="s">
        <v>185</v>
      </c>
    </row>
    <row r="44" spans="1:2" ht="14.25" customHeight="1" x14ac:dyDescent="0.2">
      <c r="A44" t="s">
        <v>81</v>
      </c>
      <c r="B44" t="s">
        <v>186</v>
      </c>
    </row>
    <row r="45" spans="1:2" ht="14.25" customHeight="1" x14ac:dyDescent="0.2">
      <c r="A45" t="s">
        <v>82</v>
      </c>
      <c r="B45" t="s">
        <v>187</v>
      </c>
    </row>
    <row r="46" spans="1:2" ht="14.25" customHeight="1" x14ac:dyDescent="0.2">
      <c r="A46" t="s">
        <v>83</v>
      </c>
      <c r="B46" t="s">
        <v>188</v>
      </c>
    </row>
    <row r="47" spans="1:2" ht="14.25" customHeight="1" x14ac:dyDescent="0.2">
      <c r="A47" t="s">
        <v>84</v>
      </c>
      <c r="B47" t="s">
        <v>189</v>
      </c>
    </row>
    <row r="48" spans="1:2" ht="14.25" customHeight="1" x14ac:dyDescent="0.2">
      <c r="A48" t="s">
        <v>85</v>
      </c>
      <c r="B48" t="s">
        <v>190</v>
      </c>
    </row>
    <row r="49" spans="1:2" ht="14.25" customHeight="1" x14ac:dyDescent="0.2">
      <c r="A49" t="s">
        <v>86</v>
      </c>
      <c r="B49" t="s">
        <v>191</v>
      </c>
    </row>
    <row r="50" spans="1:2" ht="14.25" customHeight="1" x14ac:dyDescent="0.2">
      <c r="A50" t="s">
        <v>87</v>
      </c>
      <c r="B50" t="s">
        <v>192</v>
      </c>
    </row>
    <row r="51" spans="1:2" ht="14.25" customHeight="1" x14ac:dyDescent="0.2">
      <c r="A51" t="s">
        <v>88</v>
      </c>
      <c r="B51" t="s">
        <v>193</v>
      </c>
    </row>
    <row r="52" spans="1:2" ht="14.25" customHeight="1" x14ac:dyDescent="0.2">
      <c r="A52" t="s">
        <v>89</v>
      </c>
      <c r="B52" t="s">
        <v>194</v>
      </c>
    </row>
    <row r="53" spans="1:2" ht="14.25" customHeight="1" x14ac:dyDescent="0.2">
      <c r="A53" t="s">
        <v>90</v>
      </c>
      <c r="B53" t="s">
        <v>195</v>
      </c>
    </row>
    <row r="54" spans="1:2" ht="14.25" customHeight="1" x14ac:dyDescent="0.2">
      <c r="A54" t="s">
        <v>91</v>
      </c>
      <c r="B54" t="s">
        <v>196</v>
      </c>
    </row>
    <row r="55" spans="1:2" ht="14.25" customHeight="1" x14ac:dyDescent="0.2">
      <c r="A55" t="s">
        <v>92</v>
      </c>
      <c r="B55" t="s">
        <v>197</v>
      </c>
    </row>
    <row r="56" spans="1:2" ht="14.25" customHeight="1" x14ac:dyDescent="0.2">
      <c r="A56" t="s">
        <v>93</v>
      </c>
      <c r="B56" t="s">
        <v>198</v>
      </c>
    </row>
    <row r="57" spans="1:2" ht="14.25" customHeight="1" x14ac:dyDescent="0.2">
      <c r="A57" t="s">
        <v>94</v>
      </c>
      <c r="B57" t="s">
        <v>199</v>
      </c>
    </row>
    <row r="58" spans="1:2" ht="14.25" customHeight="1" x14ac:dyDescent="0.2">
      <c r="A58" t="s">
        <v>95</v>
      </c>
      <c r="B58" t="s">
        <v>200</v>
      </c>
    </row>
    <row r="59" spans="1:2" ht="14.25" customHeight="1" x14ac:dyDescent="0.2">
      <c r="A59" t="s">
        <v>96</v>
      </c>
      <c r="B59" t="s">
        <v>201</v>
      </c>
    </row>
    <row r="60" spans="1:2" ht="14.25" customHeight="1" x14ac:dyDescent="0.2">
      <c r="A60" t="s">
        <v>97</v>
      </c>
      <c r="B60" t="s">
        <v>202</v>
      </c>
    </row>
    <row r="61" spans="1:2" ht="14.25" customHeight="1" x14ac:dyDescent="0.2">
      <c r="A61" t="s">
        <v>98</v>
      </c>
      <c r="B61" t="s">
        <v>203</v>
      </c>
    </row>
    <row r="62" spans="1:2" ht="14.25" customHeight="1" x14ac:dyDescent="0.2">
      <c r="A62" t="s">
        <v>99</v>
      </c>
      <c r="B62" t="s">
        <v>204</v>
      </c>
    </row>
    <row r="63" spans="1:2" ht="14.25" customHeight="1" x14ac:dyDescent="0.2">
      <c r="A63" t="s">
        <v>100</v>
      </c>
      <c r="B63" t="s">
        <v>205</v>
      </c>
    </row>
    <row r="64" spans="1:2" ht="14.25" customHeight="1" x14ac:dyDescent="0.2">
      <c r="A64" t="s">
        <v>101</v>
      </c>
      <c r="B64" t="s">
        <v>206</v>
      </c>
    </row>
    <row r="65" spans="1:2" ht="14.25" customHeight="1" x14ac:dyDescent="0.2">
      <c r="A65" t="s">
        <v>102</v>
      </c>
      <c r="B65" t="s">
        <v>207</v>
      </c>
    </row>
    <row r="66" spans="1:2" ht="14.25" customHeight="1" x14ac:dyDescent="0.2">
      <c r="A66" t="s">
        <v>103</v>
      </c>
      <c r="B66" t="s">
        <v>208</v>
      </c>
    </row>
    <row r="67" spans="1:2" ht="14.25" customHeight="1" x14ac:dyDescent="0.2">
      <c r="A67" t="s">
        <v>104</v>
      </c>
      <c r="B67" t="s">
        <v>209</v>
      </c>
    </row>
    <row r="68" spans="1:2" ht="14.25" customHeight="1" x14ac:dyDescent="0.2">
      <c r="A68" t="s">
        <v>105</v>
      </c>
      <c r="B68" t="s">
        <v>210</v>
      </c>
    </row>
    <row r="69" spans="1:2" ht="14.25" customHeight="1" x14ac:dyDescent="0.2">
      <c r="A69" t="s">
        <v>106</v>
      </c>
      <c r="B69" t="s">
        <v>211</v>
      </c>
    </row>
    <row r="70" spans="1:2" ht="14.25" customHeight="1" x14ac:dyDescent="0.2">
      <c r="A70" t="s">
        <v>107</v>
      </c>
      <c r="B70" t="s">
        <v>212</v>
      </c>
    </row>
    <row r="71" spans="1:2" ht="14.25" customHeight="1" x14ac:dyDescent="0.2">
      <c r="A71" t="s">
        <v>108</v>
      </c>
      <c r="B71" t="s">
        <v>213</v>
      </c>
    </row>
    <row r="72" spans="1:2" ht="14.25" customHeight="1" x14ac:dyDescent="0.2">
      <c r="A72" t="s">
        <v>109</v>
      </c>
      <c r="B72" t="s">
        <v>214</v>
      </c>
    </row>
    <row r="73" spans="1:2" ht="14.25" customHeight="1" x14ac:dyDescent="0.2">
      <c r="A73" t="s">
        <v>110</v>
      </c>
      <c r="B73" t="s">
        <v>215</v>
      </c>
    </row>
    <row r="74" spans="1:2" ht="14.25" customHeight="1" x14ac:dyDescent="0.2">
      <c r="A74" t="s">
        <v>111</v>
      </c>
      <c r="B74" t="s">
        <v>216</v>
      </c>
    </row>
    <row r="75" spans="1:2" ht="14.25" customHeight="1" x14ac:dyDescent="0.2">
      <c r="A75" t="s">
        <v>112</v>
      </c>
      <c r="B75" t="s">
        <v>217</v>
      </c>
    </row>
    <row r="76" spans="1:2" ht="14.25" customHeight="1" x14ac:dyDescent="0.2">
      <c r="A76" t="s">
        <v>113</v>
      </c>
      <c r="B76" t="s">
        <v>218</v>
      </c>
    </row>
    <row r="77" spans="1:2" ht="14.25" customHeight="1" x14ac:dyDescent="0.2">
      <c r="A77" t="s">
        <v>114</v>
      </c>
      <c r="B77" t="s">
        <v>219</v>
      </c>
    </row>
    <row r="78" spans="1:2" ht="14.25" customHeight="1" x14ac:dyDescent="0.2">
      <c r="A78" t="s">
        <v>115</v>
      </c>
      <c r="B78" t="s">
        <v>220</v>
      </c>
    </row>
    <row r="79" spans="1:2" ht="14.25" customHeight="1" x14ac:dyDescent="0.2">
      <c r="A79" t="s">
        <v>116</v>
      </c>
      <c r="B79" t="s">
        <v>221</v>
      </c>
    </row>
    <row r="80" spans="1:2" ht="14.25" customHeight="1" x14ac:dyDescent="0.2">
      <c r="A80" t="s">
        <v>117</v>
      </c>
      <c r="B80" t="s">
        <v>222</v>
      </c>
    </row>
    <row r="81" spans="1:2" ht="14.25" customHeight="1" x14ac:dyDescent="0.2">
      <c r="A81" t="s">
        <v>118</v>
      </c>
      <c r="B81" t="s">
        <v>223</v>
      </c>
    </row>
    <row r="82" spans="1:2" ht="14.25" customHeight="1" x14ac:dyDescent="0.2">
      <c r="A82" t="s">
        <v>119</v>
      </c>
      <c r="B82" t="s">
        <v>224</v>
      </c>
    </row>
    <row r="83" spans="1:2" ht="14.25" customHeight="1" x14ac:dyDescent="0.2">
      <c r="A83" t="s">
        <v>120</v>
      </c>
      <c r="B83" t="s">
        <v>225</v>
      </c>
    </row>
    <row r="84" spans="1:2" ht="14.25" customHeight="1" x14ac:dyDescent="0.2">
      <c r="A84" t="s">
        <v>121</v>
      </c>
      <c r="B84" t="s">
        <v>226</v>
      </c>
    </row>
    <row r="85" spans="1:2" ht="14.25" customHeight="1" x14ac:dyDescent="0.2">
      <c r="A85" t="s">
        <v>122</v>
      </c>
      <c r="B85" t="s">
        <v>227</v>
      </c>
    </row>
    <row r="86" spans="1:2" ht="14.25" customHeight="1" x14ac:dyDescent="0.2">
      <c r="A86" t="s">
        <v>123</v>
      </c>
      <c r="B86" t="s">
        <v>228</v>
      </c>
    </row>
    <row r="87" spans="1:2" ht="14.25" customHeight="1" x14ac:dyDescent="0.2">
      <c r="A87" t="s">
        <v>124</v>
      </c>
      <c r="B87" t="s">
        <v>229</v>
      </c>
    </row>
    <row r="88" spans="1:2" ht="14.25" customHeight="1" x14ac:dyDescent="0.2">
      <c r="A88" t="s">
        <v>125</v>
      </c>
      <c r="B88" t="s">
        <v>230</v>
      </c>
    </row>
    <row r="89" spans="1:2" ht="14.25" customHeight="1" x14ac:dyDescent="0.2">
      <c r="A89" t="s">
        <v>126</v>
      </c>
      <c r="B89" t="s">
        <v>231</v>
      </c>
    </row>
    <row r="90" spans="1:2" ht="14.25" customHeight="1" x14ac:dyDescent="0.2">
      <c r="A90" t="s">
        <v>127</v>
      </c>
      <c r="B90" t="s">
        <v>232</v>
      </c>
    </row>
    <row r="91" spans="1:2" ht="14.25" customHeight="1" x14ac:dyDescent="0.2">
      <c r="A91" t="s">
        <v>128</v>
      </c>
      <c r="B91" t="s">
        <v>233</v>
      </c>
    </row>
    <row r="92" spans="1:2" ht="14.25" customHeight="1" x14ac:dyDescent="0.2">
      <c r="A92" t="s">
        <v>129</v>
      </c>
      <c r="B92" t="s">
        <v>234</v>
      </c>
    </row>
    <row r="93" spans="1:2" ht="14.25" customHeight="1" x14ac:dyDescent="0.2">
      <c r="A93" t="s">
        <v>130</v>
      </c>
      <c r="B93" t="s">
        <v>235</v>
      </c>
    </row>
    <row r="94" spans="1:2" ht="14.25" customHeight="1" x14ac:dyDescent="0.2">
      <c r="A94" t="s">
        <v>131</v>
      </c>
      <c r="B94" t="s">
        <v>236</v>
      </c>
    </row>
    <row r="95" spans="1:2" ht="14.25" customHeight="1" x14ac:dyDescent="0.2">
      <c r="A95" t="s">
        <v>132</v>
      </c>
      <c r="B95" t="s">
        <v>237</v>
      </c>
    </row>
    <row r="96" spans="1:2" ht="14.25" customHeight="1" x14ac:dyDescent="0.2">
      <c r="A96" t="s">
        <v>133</v>
      </c>
      <c r="B96" t="s">
        <v>238</v>
      </c>
    </row>
    <row r="97" spans="1:2" ht="14.25" customHeight="1" x14ac:dyDescent="0.2">
      <c r="A97" t="s">
        <v>134</v>
      </c>
      <c r="B97" t="s">
        <v>239</v>
      </c>
    </row>
    <row r="98" spans="1:2" ht="14.25" customHeight="1" x14ac:dyDescent="0.2">
      <c r="A98" t="s">
        <v>135</v>
      </c>
      <c r="B98" t="s">
        <v>240</v>
      </c>
    </row>
    <row r="99" spans="1:2" ht="14.25" customHeight="1" x14ac:dyDescent="0.2">
      <c r="A99" t="s">
        <v>136</v>
      </c>
      <c r="B99" t="s">
        <v>115</v>
      </c>
    </row>
    <row r="100" spans="1:2" ht="14.25" customHeight="1" x14ac:dyDescent="0.2">
      <c r="A100" t="s">
        <v>137</v>
      </c>
      <c r="B100" t="s">
        <v>241</v>
      </c>
    </row>
    <row r="101" spans="1:2" ht="14.25" customHeight="1" x14ac:dyDescent="0.2">
      <c r="A101" t="s">
        <v>138</v>
      </c>
      <c r="B101" t="s">
        <v>116</v>
      </c>
    </row>
    <row r="102" spans="1:2" ht="14.25" customHeight="1" x14ac:dyDescent="0.2">
      <c r="A102" t="s">
        <v>139</v>
      </c>
      <c r="B102" t="s">
        <v>242</v>
      </c>
    </row>
    <row r="103" spans="1:2" ht="14.25" customHeight="1" x14ac:dyDescent="0.2">
      <c r="A103" t="s">
        <v>140</v>
      </c>
      <c r="B103" t="s">
        <v>243</v>
      </c>
    </row>
    <row r="104" spans="1:2" ht="14.25" customHeight="1" x14ac:dyDescent="0.2">
      <c r="A104" t="s">
        <v>141</v>
      </c>
      <c r="B104" t="s">
        <v>244</v>
      </c>
    </row>
    <row r="105" spans="1:2" ht="14.25" customHeight="1" x14ac:dyDescent="0.2">
      <c r="A105" t="s">
        <v>142</v>
      </c>
    </row>
    <row r="106" spans="1:2" ht="14.25" customHeight="1" x14ac:dyDescent="0.2">
      <c r="A106" t="s">
        <v>143</v>
      </c>
    </row>
    <row r="107" spans="1:2" ht="14.25" customHeight="1" x14ac:dyDescent="0.2">
      <c r="A107"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ef604a7-ebc4-47af-96e9-7f1ad444f50a" ContentTypeId="0x0101" PreviousValue="false"/>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Status xmlns="49d42ce9-ca8e-4bc7-9fec-f7192c4cc371" xsi:nil="true"/>
    <IconOverlay xmlns="http://schemas.microsoft.com/sharepoint/v4" xsi:nil="true"/>
    <Application_x0020_Types xmlns="ae65f439-9053-400b-a479-5c78f91a9559" xsi:nil="true"/>
    <Order0 xmlns="49d42ce9-ca8e-4bc7-9fec-f7192c4cc371" xsi:nil="true"/>
    <URL xmlns="http://schemas.microsoft.com/sharepoint/v3">
      <Url xsi:nil="true"/>
      <Description xsi:nil="true"/>
    </URL>
    <Grant_x0020_Type xmlns="49d42ce9-ca8e-4bc7-9fec-f7192c4cc371">ROAP</Grant_x0020_Type>
    <Section xmlns="49d42ce9-ca8e-4bc7-9fec-f7192c4cc371">Reports</Section>
    <_dlc_DocId xmlns="16f00c2e-ac5c-418b-9f13-a0771dbd417d">CONNECT-309-1249</_dlc_DocId>
    <_dlc_DocIdUrl xmlns="16f00c2e-ac5c-418b-9f13-a0771dbd417d">
      <Url>https://connect.ncdot.gov/business/Transit/_layouts/15/DocIdRedir.aspx?ID=CONNECT-309-1249</Url>
      <Description>CONNECT-309-1249</Description>
    </_dlc_DocIdUrl>
    <_dlc_DocIdPersistId xmlns="16f00c2e-ac5c-418b-9f13-a0771dbd417d">false</_dlc_DocIdPersistId>
    <Meeting_x0020_Dates xmlns="49d42ce9-ca8e-4bc7-9fec-f7192c4cc371" xsi:nil="true"/>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6CBB0BA4D890B54791BACA23C39560D3" ma:contentTypeVersion="302" ma:contentTypeDescription="Create a new document." ma:contentTypeScope="" ma:versionID="d50200f18d7e7fc888b4d58edf121058">
  <xsd:schema xmlns:xsd="http://www.w3.org/2001/XMLSchema" xmlns:xs="http://www.w3.org/2001/XMLSchema" xmlns:p="http://schemas.microsoft.com/office/2006/metadata/properties" xmlns:ns1="http://schemas.microsoft.com/sharepoint/v3" xmlns:ns2="49d42ce9-ca8e-4bc7-9fec-f7192c4cc371" xmlns:ns3="ae65f439-9053-400b-a479-5c78f91a9559" xmlns:ns4="16f00c2e-ac5c-418b-9f13-a0771dbd417d" xmlns:ns5="http://schemas.microsoft.com/sharepoint/v4" xmlns:ns6="a5b864cb-7915-4493-b702-ad0b49b4414f" targetNamespace="http://schemas.microsoft.com/office/2006/metadata/properties" ma:root="true" ma:fieldsID="50e6efa4bfa6cf502b78e473d34f129c" ns1:_="" ns2:_="" ns3:_="" ns4:_="" ns5:_="" ns6:_="">
    <xsd:import namespace="http://schemas.microsoft.com/sharepoint/v3"/>
    <xsd:import namespace="49d42ce9-ca8e-4bc7-9fec-f7192c4cc371"/>
    <xsd:import namespace="ae65f439-9053-400b-a479-5c78f91a9559"/>
    <xsd:import namespace="16f00c2e-ac5c-418b-9f13-a0771dbd417d"/>
    <xsd:import namespace="http://schemas.microsoft.com/sharepoint/v4"/>
    <xsd:import namespace="a5b864cb-7915-4493-b702-ad0b49b4414f"/>
    <xsd:element name="properties">
      <xsd:complexType>
        <xsd:sequence>
          <xsd:element name="documentManagement">
            <xsd:complexType>
              <xsd:all>
                <xsd:element ref="ns3:Application_x0020_Types" minOccurs="0"/>
                <xsd:element ref="ns2:Status" minOccurs="0"/>
                <xsd:element ref="ns2:Grant_x0020_Type" minOccurs="0"/>
                <xsd:element ref="ns2:Order0" minOccurs="0"/>
                <xsd:element ref="ns2:Section" minOccurs="0"/>
                <xsd:element ref="ns4:_dlc_DocId" minOccurs="0"/>
                <xsd:element ref="ns4:_dlc_DocIdUrl" minOccurs="0"/>
                <xsd:element ref="ns4:_dlc_DocIdPersistId" minOccurs="0"/>
                <xsd:element ref="ns1:URL" minOccurs="0"/>
                <xsd:element ref="ns5:IconOverlay" minOccurs="0"/>
                <xsd:element ref="ns2:Meeting_x0020_Dates" minOccurs="0"/>
                <xsd:element ref="ns1:PublishingStartDate" minOccurs="0"/>
                <xsd:element ref="ns1:PublishingExpirationDate"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20" nillable="true" ma:displayName="Scheduling Start Date" ma:description="" ma:hidden="true" ma:internalName="PublishingStartDate">
      <xsd:simpleType>
        <xsd:restriction base="dms:Unknown"/>
      </xsd:simpleType>
    </xsd:element>
    <xsd:element name="PublishingExpirationDate" ma:index="21"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42ce9-ca8e-4bc7-9fec-f7192c4cc371" elementFormDefault="qualified">
    <xsd:import namespace="http://schemas.microsoft.com/office/2006/documentManagement/types"/>
    <xsd:import namespace="http://schemas.microsoft.com/office/infopath/2007/PartnerControls"/>
    <xsd:element name="Status" ma:index="10" nillable="true" ma:displayName="Grant Status" ma:format="Dropdown" ma:internalName="Status">
      <xsd:simpleType>
        <xsd:union memberTypes="dms:Text">
          <xsd:simpleType>
            <xsd:restriction base="dms:Choice">
              <xsd:enumeration value="Current Open Applications"/>
              <xsd:enumeration value="Previous Closed Applications"/>
            </xsd:restriction>
          </xsd:simpleType>
        </xsd:union>
      </xsd:simpleType>
    </xsd:element>
    <xsd:element name="Grant_x0020_Type" ma:index="11" nillable="true" ma:displayName="Grant Type" ma:format="Dropdown" ma:internalName="Grant_x0020_Type">
      <xsd:simpleType>
        <xsd:union memberTypes="dms:Text">
          <xsd:simpleType>
            <xsd:restriction base="dms:Choice">
              <xsd:enumeration value="Apprenticeships and Internships"/>
              <xsd:enumeration value="ADTAP"/>
              <xsd:enumeration value="CTP"/>
              <xsd:enumeration value="Intercity"/>
              <xsd:enumeration value="NFPA"/>
              <xsd:enumeration value="PWPA"/>
              <xsd:enumeration value="Reference"/>
              <xsd:enumeration value="ROAP"/>
              <xsd:enumeration value="SMAP"/>
              <xsd:enumeration value="TDMP"/>
              <xsd:enumeration value="TIGER"/>
              <xsd:enumeration value="TTAP"/>
              <xsd:enumeration value="UATP"/>
              <xsd:enumeration value="Build 2018"/>
              <xsd:enumeration value="IMD Microtransit Feasibility Grant"/>
            </xsd:restriction>
          </xsd:simpleType>
        </xsd:union>
      </xsd:simpleType>
    </xsd:element>
    <xsd:element name="Order0" ma:index="12" nillable="true" ma:displayName="Order" ma:internalName="Order0">
      <xsd:simpleType>
        <xsd:restriction base="dms:Text">
          <xsd:maxLength value="255"/>
        </xsd:restriction>
      </xsd:simpleType>
    </xsd:element>
    <xsd:element name="Section" ma:index="13" nillable="true" ma:displayName="Section" ma:format="Dropdown" ma:internalName="Section">
      <xsd:simpleType>
        <xsd:union memberTypes="dms:Text">
          <xsd:simpleType>
            <xsd:restriction base="dms:Choice">
              <xsd:enumeration value="Archive"/>
              <xsd:enumeration value="Compliance"/>
              <xsd:enumeration value="Documents"/>
              <xsd:enumeration value="Forms"/>
              <xsd:enumeration value="Grants"/>
              <xsd:enumeration value="Maintenance"/>
              <xsd:enumeration value="Partner Connect Help"/>
              <xsd:enumeration value="Reports"/>
              <xsd:enumeration value="Training"/>
              <xsd:enumeration value="Transit Providers"/>
              <xsd:enumeration value="Grants Reporting Forms"/>
              <xsd:enumeration value="Level 1 Reporting: Receiving less than $25,000"/>
              <xsd:enumeration value="Level 2 Reporting: Receiving at least $25,000 but less than $500,000"/>
              <xsd:enumeration value="Level 3 Reporting: Receiving $500,000 or more"/>
              <xsd:enumeration value="CCP Templates"/>
              <xsd:enumeration value="Project Locations by Fiscal Year"/>
              <xsd:enumeration value="CCP Master Schedule"/>
              <xsd:enumeration value="Completed CCP’s"/>
              <xsd:enumeration value="Grantee Links &amp; Resources"/>
              <xsd:enumeration value="Survey Results"/>
            </xsd:restriction>
          </xsd:simpleType>
        </xsd:union>
      </xsd:simpleType>
    </xsd:element>
    <xsd:element name="Meeting_x0020_Dates" ma:index="19" nillable="true" ma:displayName="Meeting Dates" ma:internalName="Meeting_x0020_Da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65f439-9053-400b-a479-5c78f91a9559" elementFormDefault="qualified">
    <xsd:import namespace="http://schemas.microsoft.com/office/2006/documentManagement/types"/>
    <xsd:import namespace="http://schemas.microsoft.com/office/infopath/2007/PartnerControls"/>
    <xsd:element name="Application_x0020_Types" ma:index="9" nillable="true" ma:displayName="Application Types" ma:format="Dropdown" ma:hidden="true" ma:internalName="Application_x0020_Types" ma:readOnly="false">
      <xsd:simpleType>
        <xsd:union memberTypes="dms:Text">
          <xsd:simpleType>
            <xsd:restriction base="dms:Choice">
              <xsd:enumeration value="ADTAP"/>
              <xsd:enumeration value="CTP"/>
              <xsd:enumeration value="Intercity"/>
              <xsd:enumeration value="NFPA"/>
              <xsd:enumeration value="PWPA"/>
              <xsd:enumeration value="Reference"/>
              <xsd:enumeration value="ROAP"/>
              <xsd:enumeration value="SMAP"/>
              <xsd:enumeration value="TDMP"/>
              <xsd:enumeration value="TTAP"/>
              <xsd:enumeration value="UAT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b864cb-7915-4493-b702-ad0b49b4414f" elementFormDefault="qualified">
    <xsd:import namespace="http://schemas.microsoft.com/office/2006/documentManagement/types"/>
    <xsd:import namespace="http://schemas.microsoft.com/office/infopath/2007/PartnerControls"/>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70F580-6363-4589-8269-A6A63672D721}"/>
</file>

<file path=customXml/itemProps2.xml><?xml version="1.0" encoding="utf-8"?>
<ds:datastoreItem xmlns:ds="http://schemas.openxmlformats.org/officeDocument/2006/customXml" ds:itemID="{3B0F8897-F381-4D8E-AA65-28BAC2E5F7D2}"/>
</file>

<file path=customXml/itemProps3.xml><?xml version="1.0" encoding="utf-8"?>
<ds:datastoreItem xmlns:ds="http://schemas.openxmlformats.org/officeDocument/2006/customXml" ds:itemID="{61C5AF3F-193B-49D4-9D83-BC455C0244EB}"/>
</file>

<file path=customXml/itemProps4.xml><?xml version="1.0" encoding="utf-8"?>
<ds:datastoreItem xmlns:ds="http://schemas.openxmlformats.org/officeDocument/2006/customXml" ds:itemID="{B85CC682-4374-4627-BFFC-726AEEC50EEE}"/>
</file>

<file path=customXml/itemProps5.xml><?xml version="1.0" encoding="utf-8"?>
<ds:datastoreItem xmlns:ds="http://schemas.openxmlformats.org/officeDocument/2006/customXml" ds:itemID="{B8188003-1FCA-47EB-87D3-20256FBD5E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46</vt:i4>
      </vt:variant>
    </vt:vector>
  </HeadingPairs>
  <TitlesOfParts>
    <vt:vector size="55" baseType="lpstr">
      <vt:lpstr>Overview</vt:lpstr>
      <vt:lpstr>EDTAP</vt:lpstr>
      <vt:lpstr>EMPL</vt:lpstr>
      <vt:lpstr>RGP</vt:lpstr>
      <vt:lpstr>Additional Trips and Funds</vt:lpstr>
      <vt:lpstr>Transfers log</vt:lpstr>
      <vt:lpstr>Summary</vt:lpstr>
      <vt:lpstr>Transfer reference</vt:lpstr>
      <vt:lpstr>Transit Names</vt:lpstr>
      <vt:lpstr>CountyNameList</vt:lpstr>
      <vt:lpstr>EDTAP</vt:lpstr>
      <vt:lpstr>EDTAP5307funds</vt:lpstr>
      <vt:lpstr>EDTAP5310ED</vt:lpstr>
      <vt:lpstr>EDTAP5310funds</vt:lpstr>
      <vt:lpstr>EDTAP5311funds</vt:lpstr>
      <vt:lpstr>EDTAPEDTAP</vt:lpstr>
      <vt:lpstr>EDTAPJARC</vt:lpstr>
      <vt:lpstr>EDTAPNewFreedom</vt:lpstr>
      <vt:lpstr>EDTAPRGP</vt:lpstr>
      <vt:lpstr>EDTAPRuralStateOperating</vt:lpstr>
      <vt:lpstr>EMPL</vt:lpstr>
      <vt:lpstr>EMPL5307funds</vt:lpstr>
      <vt:lpstr>EMPL5310ED</vt:lpstr>
      <vt:lpstr>EMPL5310funds</vt:lpstr>
      <vt:lpstr>EMPL5311funds</vt:lpstr>
      <vt:lpstr>EMPLEDTAP</vt:lpstr>
      <vt:lpstr>EMPLEMPL</vt:lpstr>
      <vt:lpstr>EMPLJARC</vt:lpstr>
      <vt:lpstr>EMPLNewFreedom</vt:lpstr>
      <vt:lpstr>EMPLRGP</vt:lpstr>
      <vt:lpstr>EMPLRuralStateOperating</vt:lpstr>
      <vt:lpstr>FromROAP</vt:lpstr>
      <vt:lpstr>Names</vt:lpstr>
      <vt:lpstr>Overview!Print_Area</vt:lpstr>
      <vt:lpstr>Summary!Print_Area</vt:lpstr>
      <vt:lpstr>EDTAP!Print_Titles</vt:lpstr>
      <vt:lpstr>EMPL!Print_Titles</vt:lpstr>
      <vt:lpstr>Overview!Print_Titles</vt:lpstr>
      <vt:lpstr>RGP!Print_Titles</vt:lpstr>
      <vt:lpstr>Summary!Print_Titles</vt:lpstr>
      <vt:lpstr>RGP</vt:lpstr>
      <vt:lpstr>RGP5307funds</vt:lpstr>
      <vt:lpstr>RGP5310ED</vt:lpstr>
      <vt:lpstr>RGP5310funds</vt:lpstr>
      <vt:lpstr>RGP5311funds</vt:lpstr>
      <vt:lpstr>RGPEDTAP</vt:lpstr>
      <vt:lpstr>RGPEMPL</vt:lpstr>
      <vt:lpstr>RGPJARC</vt:lpstr>
      <vt:lpstr>RGPNewFreedom</vt:lpstr>
      <vt:lpstr>RGPRGP</vt:lpstr>
      <vt:lpstr>RGPRuralStateOperating</vt:lpstr>
      <vt:lpstr>SOME</vt:lpstr>
      <vt:lpstr>TORGP</vt:lpstr>
      <vt:lpstr>ToROAP</vt:lpstr>
      <vt:lpstr>TransitSystemList</vt:lpstr>
    </vt:vector>
  </TitlesOfParts>
  <Company>NCDOT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SYSTEM NAME FY20 Period XX Milestone ROAP Report</dc:title>
  <dc:subject>Current ROAP Reporting Forms</dc:subject>
  <dc:creator>PHawley</dc:creator>
  <cp:lastModifiedBy>Carolyn M. Freitag</cp:lastModifiedBy>
  <cp:lastPrinted>2020-07-09T15:23:45Z</cp:lastPrinted>
  <dcterms:created xsi:type="dcterms:W3CDTF">2005-04-28T18:48:58Z</dcterms:created>
  <dcterms:modified xsi:type="dcterms:W3CDTF">2020-08-07T18:20:11Z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0x0101006CBB0BA4D890B54791BACA23C39560D3</vt:lpwstr>
  </property>
  <property fmtid="{D5CDD505-2E9C-101B-9397-08002B2CF9AE}" pid="3" name="_dlc_DocIdItemGuid">
    <vt:lpwstr>7a4f5ef9-4bfa-40cd-a36a-ce1fb93e8cd1</vt:lpwstr>
  </property>
  <property fmtid="{D5CDD505-2E9C-101B-9397-08002B2CF9AE}" pid="4" name="Order">
    <vt:r8>124900</vt:r8>
  </property>
  <property fmtid="{D5CDD505-2E9C-101B-9397-08002B2CF9AE}" pid="5" name="Meeting Dates">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Description0">
    <vt:lpwstr>SYSTEM NAME FY20 Period XX Milestone ROAP Report</vt:lpwstr>
  </property>
  <property fmtid="{D5CDD505-2E9C-101B-9397-08002B2CF9AE}" pid="12" name="Document Type">
    <vt:lpwstr>Reports and Forms</vt:lpwstr>
  </property>
</Properties>
</file>